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embeddings/oleObject1.bin" ContentType="application/vnd.openxmlformats-officedocument.oleObject"/>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harts/chart3.xml" ContentType="application/vnd.openxmlformats-officedocument.drawingml.chart+xml"/>
  <Override PartName="/xl/drawings/drawing4.xml" ContentType="application/vnd.openxmlformats-officedocument.drawing+xml"/>
  <Override PartName="/xl/comments4.xml" ContentType="application/vnd.openxmlformats-officedocument.spreadsheetml.comments+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charts/chart7.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defaultThemeVersion="124226"/>
  <mc:AlternateContent xmlns:mc="http://schemas.openxmlformats.org/markup-compatibility/2006">
    <mc:Choice Requires="x15">
      <x15ac:absPath xmlns:x15ac="http://schemas.microsoft.com/office/spreadsheetml/2010/11/ac" url="C:\Gin's Project\PoE 機種\AVIO 4ch - POE\"/>
    </mc:Choice>
  </mc:AlternateContent>
  <xr:revisionPtr revIDLastSave="0" documentId="13_ncr:1_{2828A0B8-127E-4E85-B1C3-F41472506C4F}" xr6:coauthVersionLast="47" xr6:coauthVersionMax="47" xr10:uidLastSave="{00000000-0000-0000-0000-000000000000}"/>
  <workbookProtection workbookAlgorithmName="SHA-512" workbookHashValue="gc34FGggw3Ir8zQVSgaZChUqrVvVKYZwhSXpduqtPUD6nQuIaEe42JJKFmE/OmtpkzYp1ZfCj82eR88ZFlGbkQ==" workbookSaltValue="MvI2n84VClkXRpVOZBZk3g==" workbookSpinCount="100000" lockStructure="1"/>
  <bookViews>
    <workbookView xWindow="-108" yWindow="-108" windowWidth="23256" windowHeight="12576" xr2:uid="{00000000-000D-0000-FFFF-FFFF00000000}"/>
  </bookViews>
  <sheets>
    <sheet name="Design Converter" sheetId="1" r:id="rId1"/>
    <sheet name="Variable_Management" sheetId="2" state="hidden" r:id="rId2"/>
    <sheet name="Eff_vs_IOUT" sheetId="4" state="hidden" r:id="rId3"/>
    <sheet name="Loop_Modeling" sheetId="5" state="hidden" r:id="rId4"/>
    <sheet name="Constants" sheetId="3" state="hidden" r:id="rId5"/>
    <sheet name="Plot_Management_Eff" sheetId="6" state="hidden" r:id="rId6"/>
    <sheet name="Plot_Management_Sch" sheetId="7" state="hidden" r:id="rId7"/>
    <sheet name="Lists" sheetId="8" state="hidden" r:id="rId8"/>
    <sheet name="Licenses" sheetId="10" r:id="rId9"/>
    <sheet name="Sheet1" sheetId="9" state="hidden" r:id="rId10"/>
  </sheets>
  <externalReferences>
    <externalReference r:id="rId11"/>
  </externalReferences>
  <definedNames>
    <definedName name="Acs">Constants!$B$30</definedName>
    <definedName name="Adc">Loop_Modeling!$B$35</definedName>
    <definedName name="Adc_ea">Loop_Modeling!$B$61</definedName>
    <definedName name="ADC_VINmin">Variable_Management!$B$189</definedName>
    <definedName name="CCOMP">Variable_Management!$B$230</definedName>
    <definedName name="CComp_calc">Variable_Management!$B$229</definedName>
    <definedName name="CHF">Variable_Management!$B$232</definedName>
    <definedName name="Comp_calc">Variable_Management!$B$229</definedName>
    <definedName name="CondMode">OFFSET(Lists!$B$9,0,0,COUNTIF(Lists!$B$9:$B$11,"?CM*"),1)</definedName>
    <definedName name="Cout">Variable_Management!$B$155</definedName>
    <definedName name="Cout_min">Variable_Management!$B$153</definedName>
    <definedName name="D_limit_max">Constants!$B$18</definedName>
    <definedName name="D_limit_min">Constants!$B$16</definedName>
    <definedName name="D_limit_nom">Constants!$B$17</definedName>
    <definedName name="Dc_CCM_VIN_max">Variable_Management!$B$50</definedName>
    <definedName name="Dc_CCM_VIN_min">Variable_Management!$B$42</definedName>
    <definedName name="Dc_CCM_VIN_nom">Variable_Management!$B$46</definedName>
    <definedName name="Dc_DCM_VIN_nom">Variable_Management!$B$62</definedName>
    <definedName name="Dc_max_IC">Variable_Management!$B$21</definedName>
    <definedName name="Dc_max_ideal">Variable_Management!$A$20</definedName>
    <definedName name="Dc_Mode">Variable_Management!$B$36</definedName>
    <definedName name="Dc_Mode_Loop">Loop_Modeling!$B$14</definedName>
    <definedName name="Dc_rip_max">Variable_Management!$B$79</definedName>
    <definedName name="Dc_VIN_max">Variable_Management!$B$31</definedName>
    <definedName name="Dc_VIN_min">Variable_Management!$B$23</definedName>
    <definedName name="Dc_VIN_nom">Variable_Management!$B$27</definedName>
    <definedName name="display_SCH">INDIRECT(Plot_Management_Sch!$A$1)</definedName>
    <definedName name="EFF_est">Variable_Management!$B$17</definedName>
    <definedName name="Eff_vs_IOUT">Plot_Management_Eff!$C$3</definedName>
    <definedName name="fcross">Variable_Management!$B$213</definedName>
    <definedName name="fcross_est">Variable_Management!$B$212</definedName>
    <definedName name="FIR_BYPASSED">'[1]Digital Filter'!$T$84</definedName>
    <definedName name="fp_ea_est">Variable_Management!$B$223</definedName>
    <definedName name="Fsw">Variable_Management!$B$10</definedName>
    <definedName name="fz_ea_est">Variable_Management!$B$221</definedName>
    <definedName name="fz_rhp">Variable_Management!$B$198</definedName>
    <definedName name="Gcomp">Constants!$B$29</definedName>
    <definedName name="Gea_mid_calc">Variable_Management!$B$217</definedName>
    <definedName name="gfs">Variable_Management!$B$249</definedName>
    <definedName name="gm_ea">Constants!$B$34</definedName>
    <definedName name="Gplant_fc_dB">Loop_Modeling!$AD$7</definedName>
    <definedName name="IIN_33">Variable_Management!$B$81</definedName>
    <definedName name="IL_avg_VIN_max">Variable_Management!$B$33</definedName>
    <definedName name="IL_avg_VIN_min">Variable_Management!$B$25</definedName>
    <definedName name="IL_avg_VIN_nom">Variable_Management!$B$29</definedName>
    <definedName name="IL_pk">Variable_Management!$B$142</definedName>
    <definedName name="IL_pk_max">Variable_Management!$B$143</definedName>
    <definedName name="ILp_VINmax">Variable_Management!$B$119</definedName>
    <definedName name="ILp_VINmin">Variable_Management!$B$113</definedName>
    <definedName name="ILp_VINnom">Variable_Management!$B$116</definedName>
    <definedName name="ILrip">Variable_Management!$B$71</definedName>
    <definedName name="ILrip_VINmax">Variable_Management!$B$118</definedName>
    <definedName name="ILrip_VINmin">Variable_Management!$B$112</definedName>
    <definedName name="ILrip_VINnom">Variable_Management!$B$115</definedName>
    <definedName name="IOUT">Variable_Management!$B$14</definedName>
    <definedName name="Ipk_margin">Variable_Management!$B$122</definedName>
    <definedName name="Ipk_selected">Variable_Management!$B$123</definedName>
    <definedName name="IQ">Constants!$B$48</definedName>
    <definedName name="IRMS_COUT">Variable_Management!$B$154</definedName>
    <definedName name="Isl">Constants!$B$25</definedName>
    <definedName name="Iss">Constants!$B$37</definedName>
    <definedName name="Kslope">Variable_Management!$B$130</definedName>
    <definedName name="L_DCM">Variable_Management!$B$89</definedName>
    <definedName name="Lm">Variable_Management!$B$84</definedName>
    <definedName name="Lopt">Variable_Management!$B$76</definedName>
    <definedName name="Lopt_2">Variable_Management!$B$82</definedName>
    <definedName name="POUT">Variable_Management!$B$16</definedName>
    <definedName name="_xlnm.Print_Area" localSheetId="0">'Design Converter'!$A$1:$Z$100</definedName>
    <definedName name="Q">Loop_Modeling!$B$49</definedName>
    <definedName name="Q_VINmin">Variable_Management!$B$206</definedName>
    <definedName name="Qg_tot">Variable_Management!$B$244</definedName>
    <definedName name="Qgd">Variable_Management!$B$245</definedName>
    <definedName name="Qgs">Variable_Management!$B$246</definedName>
    <definedName name="Qrr">Variable_Management!$B$239</definedName>
    <definedName name="R_cs">Variable_Management!$B$138</definedName>
    <definedName name="R_sl">Variable_Management!$B$139</definedName>
    <definedName name="RCOMP">Variable_Management!$B$228</definedName>
    <definedName name="Rcomp_calc">Variable_Management!$B$227</definedName>
    <definedName name="Rcs_max">Variable_Management!$B$127</definedName>
    <definedName name="Rcs_w_sl">Variable_Management!$B$131</definedName>
    <definedName name="Rcs_wo_sl">Variable_Management!$B$128</definedName>
    <definedName name="Rdcr">Variable_Management!$B$85</definedName>
    <definedName name="RDS_on">Variable_Management!$B$243</definedName>
    <definedName name="Resr">Variable_Management!$B$156</definedName>
    <definedName name="RFBB">Variable_Management!$B$184</definedName>
    <definedName name="RFBB_calc">Variable_Management!$B$183</definedName>
    <definedName name="RFBT">Variable_Management!$B$182</definedName>
    <definedName name="Rgate">Variable_Management!$B$247</definedName>
    <definedName name="ROUT">Variable_Management!$B$15</definedName>
    <definedName name="Rsl_int">Constants!$B$26</definedName>
    <definedName name="Rsl_max">Constants!$B$28</definedName>
    <definedName name="RT">Variable_Management!$B$11</definedName>
    <definedName name="Ruvlo_bottom_calc">Variable_Management!$B$173</definedName>
    <definedName name="Ruvlo_top">Variable_Management!$B$172</definedName>
    <definedName name="Ruvlo_top_calc">Variable_Management!$B$171</definedName>
    <definedName name="SCH_1">Plot_Management_Sch!$B$2</definedName>
    <definedName name="SCH_2">Plot_Management_Sch!$B$4</definedName>
    <definedName name="Se_VINmin">Variable_Management!$B$202</definedName>
    <definedName name="Sn_VINmin">Variable_Management!$B$203</definedName>
    <definedName name="tf_sw">Variable_Management!$B$256</definedName>
    <definedName name="tr_sw">Variable_Management!$B$255</definedName>
    <definedName name="tss">Variable_Management!$B$162</definedName>
    <definedName name="UV_fall">Constants!$B$41</definedName>
    <definedName name="UV_I_hyst">Constants!$B$42</definedName>
    <definedName name="UV_rise">Constants!$B$40</definedName>
    <definedName name="Vcc">Constants!$B$45</definedName>
    <definedName name="Vcl">Constants!$B$27</definedName>
    <definedName name="Vd_rect">Variable_Management!$B$238</definedName>
    <definedName name="VIN_33">Variable_Management!$B$80</definedName>
    <definedName name="VIN_max">Variable_Management!$B$9</definedName>
    <definedName name="VIN_min">Variable_Management!$B$7</definedName>
    <definedName name="VIN_nom">Variable_Management!$B$8</definedName>
    <definedName name="VIN_op_max">Constants!$B$52</definedName>
    <definedName name="VIN_op_max_56">Constants!$B$53</definedName>
    <definedName name="VIN_op_min">Constants!$B$51</definedName>
    <definedName name="VIN_var">Variable_Management!$B$8</definedName>
    <definedName name="VOUT">Variable_Management!$B$13</definedName>
    <definedName name="Vout_rip_sel">Variable_Management!$B$152</definedName>
    <definedName name="Vref">Constants!$B$33</definedName>
    <definedName name="Vth">Variable_Management!$B$250</definedName>
    <definedName name="Vuvlo_off">Variable_Management!$B$167</definedName>
    <definedName name="Vuvlo_on">Variable_Management!$B$166</definedName>
    <definedName name="wp_hf">Loop_Modeling!$B$50</definedName>
    <definedName name="wp_lf">Loop_Modeling!$B$36</definedName>
    <definedName name="wp_lf_VINmin">Variable_Management!$B$191</definedName>
    <definedName name="wp0_ea">Loop_Modeling!$B$63</definedName>
    <definedName name="wp1_ea">Loop_Modeling!$B$64</definedName>
    <definedName name="wsl">Loop_Modeling!$B$48</definedName>
    <definedName name="wsl_VINmin">Variable_Management!$B$205</definedName>
    <definedName name="wz_ea">Loop_Modeling!$B$62</definedName>
    <definedName name="wz_esr">Loop_Modeling!$B$42</definedName>
    <definedName name="wz_esr_VINmin">Variable_Management!$B$194</definedName>
    <definedName name="wz_rhp">Loop_Modeling!$B$39</definedName>
    <definedName name="wz_RHP_VINmin">Variable_Management!$B$197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 i="7" l="1"/>
  <c r="B36" i="2" l="1"/>
  <c r="M126" i="2"/>
  <c r="B2" i="6"/>
  <c r="B48" i="3"/>
  <c r="B251" i="2"/>
  <c r="B250" i="2"/>
  <c r="B249" i="2"/>
  <c r="B247" i="2"/>
  <c r="B246" i="2"/>
  <c r="B245" i="2"/>
  <c r="B244" i="2"/>
  <c r="B243" i="2"/>
  <c r="B239" i="2"/>
  <c r="B238" i="2"/>
  <c r="B172" i="2"/>
  <c r="B42" i="3"/>
  <c r="B170" i="2" s="1"/>
  <c r="B169" i="2"/>
  <c r="B168" i="2"/>
  <c r="B167" i="2"/>
  <c r="B166" i="2"/>
  <c r="B162" i="2"/>
  <c r="B37" i="3"/>
  <c r="B160" i="2"/>
  <c r="B213" i="2"/>
  <c r="B34" i="3"/>
  <c r="O548" i="5"/>
  <c r="O549" i="5"/>
  <c r="O550" i="5"/>
  <c r="O551" i="5"/>
  <c r="O552" i="5"/>
  <c r="O553" i="5"/>
  <c r="O554" i="5"/>
  <c r="O555" i="5"/>
  <c r="O556" i="5"/>
  <c r="O557" i="5"/>
  <c r="O558" i="5"/>
  <c r="O559" i="5"/>
  <c r="O560" i="5"/>
  <c r="O537" i="5"/>
  <c r="O538" i="5"/>
  <c r="O539" i="5"/>
  <c r="O540" i="5"/>
  <c r="O541" i="5"/>
  <c r="O542" i="5"/>
  <c r="O543" i="5"/>
  <c r="O544" i="5"/>
  <c r="O545" i="5"/>
  <c r="O546" i="5"/>
  <c r="O547" i="5"/>
  <c r="O520" i="5"/>
  <c r="O521" i="5"/>
  <c r="O522" i="5"/>
  <c r="O523" i="5"/>
  <c r="O524" i="5"/>
  <c r="O525" i="5"/>
  <c r="O526" i="5"/>
  <c r="O527" i="5"/>
  <c r="O528" i="5"/>
  <c r="O529" i="5"/>
  <c r="O530" i="5"/>
  <c r="O531" i="5"/>
  <c r="O532" i="5"/>
  <c r="O533" i="5"/>
  <c r="O534" i="5"/>
  <c r="O535" i="5"/>
  <c r="O536" i="5"/>
  <c r="O519" i="5"/>
  <c r="O420" i="5"/>
  <c r="O421" i="5"/>
  <c r="O422" i="5"/>
  <c r="O423" i="5"/>
  <c r="O424" i="5"/>
  <c r="O425" i="5"/>
  <c r="O426" i="5"/>
  <c r="O427" i="5"/>
  <c r="O428" i="5"/>
  <c r="O429" i="5"/>
  <c r="O430" i="5"/>
  <c r="O431" i="5"/>
  <c r="O432" i="5"/>
  <c r="O433" i="5"/>
  <c r="O434" i="5"/>
  <c r="O435" i="5"/>
  <c r="O436" i="5"/>
  <c r="O437" i="5"/>
  <c r="O438" i="5"/>
  <c r="O439" i="5"/>
  <c r="O440" i="5"/>
  <c r="O441" i="5"/>
  <c r="O442" i="5"/>
  <c r="O443" i="5"/>
  <c r="O444" i="5"/>
  <c r="O445" i="5"/>
  <c r="O446" i="5"/>
  <c r="O447" i="5"/>
  <c r="O448" i="5"/>
  <c r="O449" i="5"/>
  <c r="O450" i="5"/>
  <c r="O451" i="5"/>
  <c r="O452" i="5"/>
  <c r="O453" i="5"/>
  <c r="O454" i="5"/>
  <c r="O455" i="5"/>
  <c r="O456" i="5"/>
  <c r="O457" i="5"/>
  <c r="O458" i="5"/>
  <c r="O459" i="5"/>
  <c r="O460" i="5"/>
  <c r="O461" i="5"/>
  <c r="O462" i="5"/>
  <c r="O463" i="5"/>
  <c r="O464" i="5"/>
  <c r="O465" i="5"/>
  <c r="O466" i="5"/>
  <c r="O467" i="5"/>
  <c r="O468" i="5"/>
  <c r="O469" i="5"/>
  <c r="O470" i="5"/>
  <c r="O471" i="5"/>
  <c r="O472" i="5"/>
  <c r="O473" i="5"/>
  <c r="O474" i="5"/>
  <c r="O475" i="5"/>
  <c r="O476" i="5"/>
  <c r="O477" i="5"/>
  <c r="O478" i="5"/>
  <c r="O479" i="5"/>
  <c r="O480" i="5"/>
  <c r="O481" i="5"/>
  <c r="O482" i="5"/>
  <c r="O483" i="5"/>
  <c r="O484" i="5"/>
  <c r="O485" i="5"/>
  <c r="O486" i="5"/>
  <c r="O487" i="5"/>
  <c r="O488" i="5"/>
  <c r="O489" i="5"/>
  <c r="O490" i="5"/>
  <c r="O491" i="5"/>
  <c r="O492" i="5"/>
  <c r="O493" i="5"/>
  <c r="O494" i="5"/>
  <c r="O495" i="5"/>
  <c r="O496" i="5"/>
  <c r="O497" i="5"/>
  <c r="O498" i="5"/>
  <c r="O499" i="5"/>
  <c r="O500" i="5"/>
  <c r="O501" i="5"/>
  <c r="O502" i="5"/>
  <c r="O503" i="5"/>
  <c r="O504" i="5"/>
  <c r="O505" i="5"/>
  <c r="O506" i="5"/>
  <c r="O507" i="5"/>
  <c r="O508" i="5"/>
  <c r="O509" i="5"/>
  <c r="O510" i="5"/>
  <c r="O511" i="5"/>
  <c r="O512" i="5"/>
  <c r="O513" i="5"/>
  <c r="O514" i="5"/>
  <c r="O515" i="5"/>
  <c r="O516" i="5"/>
  <c r="O517" i="5"/>
  <c r="O518" i="5"/>
  <c r="O419" i="5"/>
  <c r="O320" i="5"/>
  <c r="O321" i="5"/>
  <c r="O322" i="5"/>
  <c r="O323" i="5"/>
  <c r="O324" i="5"/>
  <c r="O325" i="5"/>
  <c r="O326" i="5"/>
  <c r="O327" i="5"/>
  <c r="O328" i="5"/>
  <c r="O329" i="5"/>
  <c r="O330" i="5"/>
  <c r="O331" i="5"/>
  <c r="O332" i="5"/>
  <c r="O333" i="5"/>
  <c r="O334" i="5"/>
  <c r="O335" i="5"/>
  <c r="O336" i="5"/>
  <c r="O337" i="5"/>
  <c r="O338" i="5"/>
  <c r="O339" i="5"/>
  <c r="O340" i="5"/>
  <c r="O341" i="5"/>
  <c r="O342" i="5"/>
  <c r="O343" i="5"/>
  <c r="O344" i="5"/>
  <c r="O345" i="5"/>
  <c r="O346" i="5"/>
  <c r="O347" i="5"/>
  <c r="O348" i="5"/>
  <c r="O349" i="5"/>
  <c r="O350" i="5"/>
  <c r="O351" i="5"/>
  <c r="O352" i="5"/>
  <c r="O353" i="5"/>
  <c r="O354" i="5"/>
  <c r="O355" i="5"/>
  <c r="O356" i="5"/>
  <c r="O357" i="5"/>
  <c r="O358" i="5"/>
  <c r="O359" i="5"/>
  <c r="O360" i="5"/>
  <c r="O361" i="5"/>
  <c r="O362" i="5"/>
  <c r="O363" i="5"/>
  <c r="O364" i="5"/>
  <c r="O365" i="5"/>
  <c r="O366" i="5"/>
  <c r="O367" i="5"/>
  <c r="O368" i="5"/>
  <c r="O369" i="5"/>
  <c r="O370" i="5"/>
  <c r="O371" i="5"/>
  <c r="O372" i="5"/>
  <c r="O373" i="5"/>
  <c r="O374" i="5"/>
  <c r="O375" i="5"/>
  <c r="O376" i="5"/>
  <c r="O377" i="5"/>
  <c r="O378" i="5"/>
  <c r="O379" i="5"/>
  <c r="O380" i="5"/>
  <c r="O381" i="5"/>
  <c r="O382" i="5"/>
  <c r="O383" i="5"/>
  <c r="O384" i="5"/>
  <c r="O385" i="5"/>
  <c r="O386" i="5"/>
  <c r="O387" i="5"/>
  <c r="O388" i="5"/>
  <c r="O389" i="5"/>
  <c r="O390" i="5"/>
  <c r="O391" i="5"/>
  <c r="O392" i="5"/>
  <c r="O393" i="5"/>
  <c r="O394" i="5"/>
  <c r="O395" i="5"/>
  <c r="O396" i="5"/>
  <c r="O397" i="5"/>
  <c r="O398" i="5"/>
  <c r="O399" i="5"/>
  <c r="O400" i="5"/>
  <c r="O401" i="5"/>
  <c r="O402" i="5"/>
  <c r="O403" i="5"/>
  <c r="O404" i="5"/>
  <c r="O405" i="5"/>
  <c r="O406" i="5"/>
  <c r="O407" i="5"/>
  <c r="O408" i="5"/>
  <c r="O409" i="5"/>
  <c r="O410" i="5"/>
  <c r="O411" i="5"/>
  <c r="O412" i="5"/>
  <c r="O413" i="5"/>
  <c r="O414" i="5"/>
  <c r="O415" i="5"/>
  <c r="O416" i="5"/>
  <c r="O417" i="5"/>
  <c r="O418" i="5"/>
  <c r="O319" i="5"/>
  <c r="O220" i="5"/>
  <c r="O221" i="5"/>
  <c r="O222" i="5"/>
  <c r="O223" i="5"/>
  <c r="O224" i="5"/>
  <c r="O225" i="5"/>
  <c r="O226" i="5"/>
  <c r="O227" i="5"/>
  <c r="O228" i="5"/>
  <c r="O229" i="5"/>
  <c r="O230" i="5"/>
  <c r="O231" i="5"/>
  <c r="O232" i="5"/>
  <c r="O233" i="5"/>
  <c r="O234" i="5"/>
  <c r="O235" i="5"/>
  <c r="O236" i="5"/>
  <c r="O237" i="5"/>
  <c r="O238" i="5"/>
  <c r="O239" i="5"/>
  <c r="O240" i="5"/>
  <c r="O241" i="5"/>
  <c r="O242" i="5"/>
  <c r="O243" i="5"/>
  <c r="O244" i="5"/>
  <c r="O245" i="5"/>
  <c r="O246" i="5"/>
  <c r="O247" i="5"/>
  <c r="O248" i="5"/>
  <c r="O249" i="5"/>
  <c r="O250" i="5"/>
  <c r="O251" i="5"/>
  <c r="O252" i="5"/>
  <c r="O253" i="5"/>
  <c r="O254" i="5"/>
  <c r="O255" i="5"/>
  <c r="O256" i="5"/>
  <c r="O257" i="5"/>
  <c r="O258" i="5"/>
  <c r="O259" i="5"/>
  <c r="O260" i="5"/>
  <c r="O261" i="5"/>
  <c r="O262" i="5"/>
  <c r="O263" i="5"/>
  <c r="O264" i="5"/>
  <c r="O265" i="5"/>
  <c r="O266" i="5"/>
  <c r="O267" i="5"/>
  <c r="O268" i="5"/>
  <c r="O269" i="5"/>
  <c r="O270" i="5"/>
  <c r="O271" i="5"/>
  <c r="O272" i="5"/>
  <c r="O273" i="5"/>
  <c r="O274" i="5"/>
  <c r="O275" i="5"/>
  <c r="O276" i="5"/>
  <c r="O277" i="5"/>
  <c r="O278" i="5"/>
  <c r="O279" i="5"/>
  <c r="O280" i="5"/>
  <c r="O281" i="5"/>
  <c r="O282" i="5"/>
  <c r="O283" i="5"/>
  <c r="O284" i="5"/>
  <c r="O285" i="5"/>
  <c r="O286" i="5"/>
  <c r="O287" i="5"/>
  <c r="O288" i="5"/>
  <c r="O289" i="5"/>
  <c r="O290" i="5"/>
  <c r="O291" i="5"/>
  <c r="O292" i="5"/>
  <c r="O293" i="5"/>
  <c r="O294" i="5"/>
  <c r="O295" i="5"/>
  <c r="O296" i="5"/>
  <c r="O297" i="5"/>
  <c r="O298" i="5"/>
  <c r="O299" i="5"/>
  <c r="O300" i="5"/>
  <c r="O301" i="5"/>
  <c r="O302" i="5"/>
  <c r="O303" i="5"/>
  <c r="O304" i="5"/>
  <c r="O305" i="5"/>
  <c r="O306" i="5"/>
  <c r="O307" i="5"/>
  <c r="O308" i="5"/>
  <c r="O309" i="5"/>
  <c r="O310" i="5"/>
  <c r="O311" i="5"/>
  <c r="O312" i="5"/>
  <c r="O313" i="5"/>
  <c r="O314" i="5"/>
  <c r="O315" i="5"/>
  <c r="O316" i="5"/>
  <c r="O317" i="5"/>
  <c r="O318" i="5"/>
  <c r="O219" i="5"/>
  <c r="O120" i="5"/>
  <c r="O121" i="5"/>
  <c r="O122" i="5"/>
  <c r="O123" i="5"/>
  <c r="O124" i="5"/>
  <c r="O125" i="5"/>
  <c r="O126" i="5"/>
  <c r="O127" i="5"/>
  <c r="O128" i="5"/>
  <c r="O129" i="5"/>
  <c r="O130" i="5"/>
  <c r="O131" i="5"/>
  <c r="O132" i="5"/>
  <c r="O133" i="5"/>
  <c r="O134" i="5"/>
  <c r="O135" i="5"/>
  <c r="O136" i="5"/>
  <c r="O137" i="5"/>
  <c r="O138" i="5"/>
  <c r="O139" i="5"/>
  <c r="O140" i="5"/>
  <c r="O141" i="5"/>
  <c r="O142" i="5"/>
  <c r="O143" i="5"/>
  <c r="O144" i="5"/>
  <c r="O145" i="5"/>
  <c r="O146" i="5"/>
  <c r="O147" i="5"/>
  <c r="O148" i="5"/>
  <c r="O149" i="5"/>
  <c r="O150" i="5"/>
  <c r="O151" i="5"/>
  <c r="O152" i="5"/>
  <c r="O153" i="5"/>
  <c r="O154" i="5"/>
  <c r="O155" i="5"/>
  <c r="O156" i="5"/>
  <c r="O157" i="5"/>
  <c r="O158" i="5"/>
  <c r="O159" i="5"/>
  <c r="O160" i="5"/>
  <c r="O161" i="5"/>
  <c r="O162" i="5"/>
  <c r="O163" i="5"/>
  <c r="O164" i="5"/>
  <c r="O165" i="5"/>
  <c r="O166" i="5"/>
  <c r="O167" i="5"/>
  <c r="O168" i="5"/>
  <c r="O169" i="5"/>
  <c r="O170" i="5"/>
  <c r="O171" i="5"/>
  <c r="O172" i="5"/>
  <c r="O173" i="5"/>
  <c r="O174" i="5"/>
  <c r="O175" i="5"/>
  <c r="O176" i="5"/>
  <c r="O177" i="5"/>
  <c r="O178" i="5"/>
  <c r="O179" i="5"/>
  <c r="O180" i="5"/>
  <c r="O181" i="5"/>
  <c r="O182" i="5"/>
  <c r="O183" i="5"/>
  <c r="O184" i="5"/>
  <c r="O185" i="5"/>
  <c r="O186" i="5"/>
  <c r="O187" i="5"/>
  <c r="O188" i="5"/>
  <c r="O189" i="5"/>
  <c r="O190" i="5"/>
  <c r="O191" i="5"/>
  <c r="O192" i="5"/>
  <c r="O193" i="5"/>
  <c r="O194" i="5"/>
  <c r="O195" i="5"/>
  <c r="O196" i="5"/>
  <c r="O197" i="5"/>
  <c r="O198" i="5"/>
  <c r="O199" i="5"/>
  <c r="O200" i="5"/>
  <c r="O201" i="5"/>
  <c r="O202" i="5"/>
  <c r="O203" i="5"/>
  <c r="O204" i="5"/>
  <c r="O205" i="5"/>
  <c r="O206" i="5"/>
  <c r="O207" i="5"/>
  <c r="O208" i="5"/>
  <c r="O209" i="5"/>
  <c r="O210" i="5"/>
  <c r="O211" i="5"/>
  <c r="O212" i="5"/>
  <c r="O213" i="5"/>
  <c r="O214" i="5"/>
  <c r="O215" i="5"/>
  <c r="O216" i="5"/>
  <c r="O217" i="5"/>
  <c r="O218" i="5"/>
  <c r="O119" i="5"/>
  <c r="O20" i="5"/>
  <c r="O21" i="5"/>
  <c r="O22" i="5"/>
  <c r="O23" i="5"/>
  <c r="O24" i="5"/>
  <c r="O25" i="5"/>
  <c r="O26" i="5"/>
  <c r="O27" i="5"/>
  <c r="O28" i="5"/>
  <c r="O29" i="5"/>
  <c r="O30" i="5"/>
  <c r="O31" i="5"/>
  <c r="O32" i="5"/>
  <c r="O33" i="5"/>
  <c r="O34" i="5"/>
  <c r="O35" i="5"/>
  <c r="O36" i="5"/>
  <c r="O37" i="5"/>
  <c r="O38" i="5"/>
  <c r="O39" i="5"/>
  <c r="O40" i="5"/>
  <c r="O41" i="5"/>
  <c r="O42" i="5"/>
  <c r="O43" i="5"/>
  <c r="O44" i="5"/>
  <c r="O45" i="5"/>
  <c r="O46" i="5"/>
  <c r="O47" i="5"/>
  <c r="O48" i="5"/>
  <c r="O49" i="5"/>
  <c r="O50" i="5"/>
  <c r="O51" i="5"/>
  <c r="O52" i="5"/>
  <c r="O53" i="5"/>
  <c r="O54" i="5"/>
  <c r="O55" i="5"/>
  <c r="O56" i="5"/>
  <c r="O57" i="5"/>
  <c r="O58" i="5"/>
  <c r="O59" i="5"/>
  <c r="O60" i="5"/>
  <c r="O61" i="5"/>
  <c r="O62" i="5"/>
  <c r="O63" i="5"/>
  <c r="O64" i="5"/>
  <c r="O65" i="5"/>
  <c r="O66" i="5"/>
  <c r="O67" i="5"/>
  <c r="O68" i="5"/>
  <c r="O69" i="5"/>
  <c r="O70" i="5"/>
  <c r="O71" i="5"/>
  <c r="O72" i="5"/>
  <c r="O73" i="5"/>
  <c r="O74" i="5"/>
  <c r="O75" i="5"/>
  <c r="O76" i="5"/>
  <c r="O77" i="5"/>
  <c r="O78" i="5"/>
  <c r="O79" i="5"/>
  <c r="O80" i="5"/>
  <c r="O81" i="5"/>
  <c r="O82" i="5"/>
  <c r="O83" i="5"/>
  <c r="O84" i="5"/>
  <c r="O85" i="5"/>
  <c r="O86" i="5"/>
  <c r="O87" i="5"/>
  <c r="O88" i="5"/>
  <c r="O89" i="5"/>
  <c r="O90" i="5"/>
  <c r="O91" i="5"/>
  <c r="O92" i="5"/>
  <c r="O93" i="5"/>
  <c r="O94" i="5"/>
  <c r="O95" i="5"/>
  <c r="O96" i="5"/>
  <c r="O97" i="5"/>
  <c r="O98" i="5"/>
  <c r="O99" i="5"/>
  <c r="O100" i="5"/>
  <c r="O101" i="5"/>
  <c r="O102" i="5"/>
  <c r="O103" i="5"/>
  <c r="O104" i="5"/>
  <c r="O105" i="5"/>
  <c r="O106" i="5"/>
  <c r="O107" i="5"/>
  <c r="O108" i="5"/>
  <c r="O109" i="5"/>
  <c r="O110" i="5"/>
  <c r="O111" i="5"/>
  <c r="O112" i="5"/>
  <c r="O113" i="5"/>
  <c r="O114" i="5"/>
  <c r="O115" i="5"/>
  <c r="O116" i="5"/>
  <c r="O117" i="5"/>
  <c r="O118" i="5"/>
  <c r="O19" i="5"/>
  <c r="O8" i="5"/>
  <c r="B29" i="3"/>
  <c r="B31" i="5" s="1"/>
  <c r="B182" i="2"/>
  <c r="B55" i="5" s="1"/>
  <c r="B184" i="2"/>
  <c r="B56" i="5" s="1"/>
  <c r="B230" i="2"/>
  <c r="B232" i="2"/>
  <c r="B59" i="5" s="1"/>
  <c r="B228" i="2"/>
  <c r="B28" i="5"/>
  <c r="B156" i="2"/>
  <c r="B155" i="2"/>
  <c r="B152" i="2"/>
  <c r="B144" i="2"/>
  <c r="B139" i="2"/>
  <c r="B27" i="5" s="1"/>
  <c r="B138" i="2"/>
  <c r="B26" i="5" s="1"/>
  <c r="B27" i="3"/>
  <c r="B25" i="3"/>
  <c r="B122" i="2"/>
  <c r="B85" i="2"/>
  <c r="B84" i="2"/>
  <c r="B22" i="3"/>
  <c r="B71" i="2"/>
  <c r="B10" i="2"/>
  <c r="B14" i="3"/>
  <c r="B12" i="3"/>
  <c r="B10" i="3"/>
  <c r="B17" i="2"/>
  <c r="B14" i="2"/>
  <c r="H85" i="1" s="1"/>
  <c r="B13" i="2"/>
  <c r="B9" i="2"/>
  <c r="B5" i="8" s="1"/>
  <c r="B8" i="2"/>
  <c r="T121" i="4" s="1"/>
  <c r="B7" i="2"/>
  <c r="B21" i="5" l="1"/>
  <c r="AP87" i="4"/>
  <c r="B10" i="5"/>
  <c r="B89" i="2"/>
  <c r="B194" i="2"/>
  <c r="B195" i="2" s="1"/>
  <c r="B63" i="5"/>
  <c r="AG479" i="5" s="1"/>
  <c r="AI479" i="5" s="1"/>
  <c r="T130" i="4"/>
  <c r="AQ130" i="4" s="1"/>
  <c r="T118" i="4"/>
  <c r="AQ118" i="4" s="1"/>
  <c r="T29" i="4"/>
  <c r="AQ29" i="4" s="1"/>
  <c r="T31" i="4"/>
  <c r="AQ31" i="4" s="1"/>
  <c r="T63" i="4"/>
  <c r="AQ63" i="4" s="1"/>
  <c r="T138" i="4"/>
  <c r="AQ138" i="4" s="1"/>
  <c r="T126" i="4"/>
  <c r="AQ126" i="4" s="1"/>
  <c r="T49" i="4"/>
  <c r="AQ49" i="4" s="1"/>
  <c r="T19" i="4"/>
  <c r="AQ19" i="4" s="1"/>
  <c r="T74" i="4"/>
  <c r="AQ74" i="4" s="1"/>
  <c r="T54" i="4"/>
  <c r="AQ54" i="4" s="1"/>
  <c r="T28" i="4"/>
  <c r="AQ28" i="4" s="1"/>
  <c r="T132" i="4"/>
  <c r="AQ132" i="4" s="1"/>
  <c r="T13" i="4"/>
  <c r="AQ13" i="4" s="1"/>
  <c r="T144" i="4"/>
  <c r="AQ144" i="4" s="1"/>
  <c r="T124" i="4"/>
  <c r="AQ124" i="4" s="1"/>
  <c r="T151" i="4"/>
  <c r="AQ151" i="4" s="1"/>
  <c r="T88" i="4"/>
  <c r="AQ88" i="4" s="1"/>
  <c r="T76" i="4"/>
  <c r="AQ76" i="4" s="1"/>
  <c r="R84" i="4"/>
  <c r="B36" i="5"/>
  <c r="Q96" i="5" s="1"/>
  <c r="T33" i="4"/>
  <c r="AQ33" i="4" s="1"/>
  <c r="B35" i="5"/>
  <c r="T79" i="4"/>
  <c r="AQ79" i="4" s="1"/>
  <c r="B58" i="5"/>
  <c r="R62" i="4"/>
  <c r="B15" i="2"/>
  <c r="R143" i="4"/>
  <c r="B16" i="2"/>
  <c r="H15" i="1" s="1"/>
  <c r="B20" i="5"/>
  <c r="R79" i="4"/>
  <c r="R105" i="4"/>
  <c r="R34" i="4"/>
  <c r="B45" i="5"/>
  <c r="B11" i="2"/>
  <c r="H13" i="1" s="1"/>
  <c r="B19" i="3"/>
  <c r="B20" i="3" s="1"/>
  <c r="B21" i="2" s="1"/>
  <c r="H16" i="1" s="1"/>
  <c r="B13" i="5"/>
  <c r="AP56" i="4"/>
  <c r="K21" i="2"/>
  <c r="AP30" i="4"/>
  <c r="AP116" i="4"/>
  <c r="AP115" i="4"/>
  <c r="AP66" i="4"/>
  <c r="AP49" i="4"/>
  <c r="O12" i="4"/>
  <c r="T30" i="4"/>
  <c r="AQ30" i="4" s="1"/>
  <c r="T152" i="4"/>
  <c r="AQ152" i="4" s="1"/>
  <c r="T82" i="4"/>
  <c r="AQ82" i="4" s="1"/>
  <c r="T27" i="4"/>
  <c r="AQ27" i="4" s="1"/>
  <c r="T137" i="4"/>
  <c r="AQ137" i="4" s="1"/>
  <c r="T105" i="4"/>
  <c r="AQ105" i="4" s="1"/>
  <c r="T80" i="4"/>
  <c r="AQ80" i="4" s="1"/>
  <c r="T24" i="4"/>
  <c r="AQ24" i="4" s="1"/>
  <c r="T62" i="4"/>
  <c r="AQ62" i="4" s="1"/>
  <c r="T93" i="4"/>
  <c r="AQ93" i="4" s="1"/>
  <c r="R141" i="4"/>
  <c r="R133" i="4"/>
  <c r="R98" i="4"/>
  <c r="R155" i="4"/>
  <c r="R76" i="4"/>
  <c r="T136" i="4"/>
  <c r="AQ136" i="4" s="1"/>
  <c r="T21" i="4"/>
  <c r="AQ21" i="4" s="1"/>
  <c r="T110" i="4"/>
  <c r="AQ110" i="4" s="1"/>
  <c r="T133" i="4"/>
  <c r="AQ133" i="4" s="1"/>
  <c r="T59" i="4"/>
  <c r="AQ59" i="4" s="1"/>
  <c r="B39" i="5"/>
  <c r="W161" i="5" s="1"/>
  <c r="Y161" i="5" s="1"/>
  <c r="T128" i="4"/>
  <c r="AQ128" i="4" s="1"/>
  <c r="T64" i="4"/>
  <c r="AQ64" i="4" s="1"/>
  <c r="T15" i="4"/>
  <c r="AQ15" i="4" s="1"/>
  <c r="T122" i="4"/>
  <c r="AQ122" i="4" s="1"/>
  <c r="T58" i="4"/>
  <c r="AQ58" i="4" s="1"/>
  <c r="T108" i="4"/>
  <c r="AQ108" i="4" s="1"/>
  <c r="T60" i="4"/>
  <c r="AQ60" i="4" s="1"/>
  <c r="T16" i="4"/>
  <c r="AQ16" i="4" s="1"/>
  <c r="T102" i="4"/>
  <c r="AQ102" i="4" s="1"/>
  <c r="T40" i="4"/>
  <c r="AQ40" i="4" s="1"/>
  <c r="T9" i="4"/>
  <c r="AQ9" i="4" s="1"/>
  <c r="T147" i="4"/>
  <c r="AQ147" i="4" s="1"/>
  <c r="T131" i="4"/>
  <c r="AQ131" i="4" s="1"/>
  <c r="T115" i="4"/>
  <c r="AQ115" i="4" s="1"/>
  <c r="T101" i="4"/>
  <c r="AQ101" i="4" s="1"/>
  <c r="T87" i="4"/>
  <c r="AQ87" i="4" s="1"/>
  <c r="T73" i="4"/>
  <c r="T57" i="4"/>
  <c r="AQ57" i="4" s="1"/>
  <c r="T43" i="4"/>
  <c r="AQ43" i="4" s="1"/>
  <c r="T103" i="4"/>
  <c r="AQ103" i="4" s="1"/>
  <c r="T77" i="4"/>
  <c r="AQ77" i="4" s="1"/>
  <c r="T25" i="4"/>
  <c r="AQ25" i="4" s="1"/>
  <c r="T72" i="4"/>
  <c r="AQ72" i="4" s="1"/>
  <c r="T66" i="4"/>
  <c r="AQ66" i="4" s="1"/>
  <c r="T20" i="4"/>
  <c r="AQ20" i="4" s="1"/>
  <c r="T149" i="4"/>
  <c r="AQ149" i="4" s="1"/>
  <c r="T75" i="4"/>
  <c r="AQ75" i="4" s="1"/>
  <c r="T120" i="4"/>
  <c r="AQ120" i="4" s="1"/>
  <c r="T56" i="4"/>
  <c r="AQ56" i="4" s="1"/>
  <c r="T12" i="4"/>
  <c r="AQ12" i="4" s="1"/>
  <c r="T114" i="4"/>
  <c r="AQ114" i="4" s="1"/>
  <c r="T50" i="4"/>
  <c r="AQ50" i="4" s="1"/>
  <c r="T14" i="4"/>
  <c r="AQ14" i="4" s="1"/>
  <c r="T52" i="4"/>
  <c r="AQ52" i="4" s="1"/>
  <c r="T8" i="4"/>
  <c r="AQ8" i="4" s="1"/>
  <c r="T94" i="4"/>
  <c r="AQ94" i="4" s="1"/>
  <c r="T37" i="4"/>
  <c r="AQ37" i="4" s="1"/>
  <c r="T145" i="4"/>
  <c r="AQ145" i="4" s="1"/>
  <c r="T129" i="4"/>
  <c r="AQ129" i="4" s="1"/>
  <c r="T113" i="4"/>
  <c r="AQ113" i="4" s="1"/>
  <c r="T99" i="4"/>
  <c r="AQ99" i="4" s="1"/>
  <c r="T71" i="4"/>
  <c r="AQ71" i="4" s="1"/>
  <c r="T55" i="4"/>
  <c r="AQ55" i="4" s="1"/>
  <c r="T41" i="4"/>
  <c r="AQ41" i="4" s="1"/>
  <c r="T17" i="4"/>
  <c r="AQ17" i="4" s="1"/>
  <c r="T89" i="4"/>
  <c r="AQ89" i="4" s="1"/>
  <c r="O9" i="4"/>
  <c r="T112" i="4"/>
  <c r="AQ112" i="4" s="1"/>
  <c r="T48" i="4"/>
  <c r="AQ48" i="4" s="1"/>
  <c r="T106" i="4"/>
  <c r="AQ106" i="4" s="1"/>
  <c r="T42" i="4"/>
  <c r="AQ42" i="4" s="1"/>
  <c r="T156" i="4"/>
  <c r="AQ156" i="4" s="1"/>
  <c r="T100" i="4"/>
  <c r="AQ100" i="4" s="1"/>
  <c r="T44" i="4"/>
  <c r="AQ44" i="4" s="1"/>
  <c r="T150" i="4"/>
  <c r="AQ150" i="4" s="1"/>
  <c r="T86" i="4"/>
  <c r="AQ86" i="4" s="1"/>
  <c r="T26" i="4"/>
  <c r="AQ26" i="4" s="1"/>
  <c r="T157" i="4"/>
  <c r="AQ157" i="4" s="1"/>
  <c r="T143" i="4"/>
  <c r="AQ143" i="4" s="1"/>
  <c r="T127" i="4"/>
  <c r="AQ127" i="4" s="1"/>
  <c r="T111" i="4"/>
  <c r="AQ111" i="4" s="1"/>
  <c r="T97" i="4"/>
  <c r="AQ97" i="4" s="1"/>
  <c r="T85" i="4"/>
  <c r="AQ85" i="4" s="1"/>
  <c r="T69" i="4"/>
  <c r="AQ69" i="4" s="1"/>
  <c r="T38" i="4"/>
  <c r="AQ38" i="4" s="1"/>
  <c r="T135" i="4"/>
  <c r="AQ135" i="4" s="1"/>
  <c r="T91" i="4"/>
  <c r="AQ91" i="4" s="1"/>
  <c r="T47" i="4"/>
  <c r="AQ47" i="4" s="1"/>
  <c r="B46" i="5"/>
  <c r="T68" i="4"/>
  <c r="AQ68" i="4" s="1"/>
  <c r="T11" i="4"/>
  <c r="AQ11" i="4" s="1"/>
  <c r="T45" i="4"/>
  <c r="AQ45" i="4" s="1"/>
  <c r="T7" i="4"/>
  <c r="AQ7" i="4" s="1"/>
  <c r="T10" i="4"/>
  <c r="AQ10" i="4" s="1"/>
  <c r="T104" i="4"/>
  <c r="AQ104" i="4" s="1"/>
  <c r="T36" i="4"/>
  <c r="AQ36" i="4" s="1"/>
  <c r="T154" i="4"/>
  <c r="AQ154" i="4" s="1"/>
  <c r="T98" i="4"/>
  <c r="AQ98" i="4" s="1"/>
  <c r="T39" i="4"/>
  <c r="AQ39" i="4" s="1"/>
  <c r="T148" i="4"/>
  <c r="AQ148" i="4" s="1"/>
  <c r="T92" i="4"/>
  <c r="AQ92" i="4" s="1"/>
  <c r="T142" i="4"/>
  <c r="AQ142" i="4" s="1"/>
  <c r="T78" i="4"/>
  <c r="AQ78" i="4" s="1"/>
  <c r="T23" i="4"/>
  <c r="AQ23" i="4" s="1"/>
  <c r="T155" i="4"/>
  <c r="AQ155" i="4" s="1"/>
  <c r="T141" i="4"/>
  <c r="T125" i="4"/>
  <c r="AQ125" i="4" s="1"/>
  <c r="T109" i="4"/>
  <c r="AQ109" i="4" s="1"/>
  <c r="T95" i="4"/>
  <c r="AQ95" i="4" s="1"/>
  <c r="T83" i="4"/>
  <c r="AQ83" i="4" s="1"/>
  <c r="T67" i="4"/>
  <c r="AQ67" i="4" s="1"/>
  <c r="T53" i="4"/>
  <c r="AQ53" i="4" s="1"/>
  <c r="B11" i="5"/>
  <c r="T119" i="4"/>
  <c r="AQ119" i="4" s="1"/>
  <c r="T61" i="4"/>
  <c r="AQ61" i="4" s="1"/>
  <c r="T18" i="4"/>
  <c r="AQ18" i="4" s="1"/>
  <c r="T116" i="4"/>
  <c r="AQ116" i="4" s="1"/>
  <c r="T46" i="4"/>
  <c r="AQ46" i="4" s="1"/>
  <c r="T117" i="4"/>
  <c r="AQ117" i="4" s="1"/>
  <c r="T22" i="4"/>
  <c r="AQ22" i="4" s="1"/>
  <c r="B17" i="5"/>
  <c r="P15" i="5" s="1"/>
  <c r="T96" i="4"/>
  <c r="AQ96" i="4" s="1"/>
  <c r="T32" i="4"/>
  <c r="AQ32" i="4" s="1"/>
  <c r="T146" i="4"/>
  <c r="AQ146" i="4" s="1"/>
  <c r="T90" i="4"/>
  <c r="AQ90" i="4" s="1"/>
  <c r="T35" i="4"/>
  <c r="AQ35" i="4" s="1"/>
  <c r="T140" i="4"/>
  <c r="AQ140" i="4" s="1"/>
  <c r="T84" i="4"/>
  <c r="AQ84" i="4" s="1"/>
  <c r="T34" i="4"/>
  <c r="AQ34" i="4" s="1"/>
  <c r="T134" i="4"/>
  <c r="T70" i="4"/>
  <c r="AQ70" i="4" s="1"/>
  <c r="T153" i="4"/>
  <c r="AQ153" i="4" s="1"/>
  <c r="T139" i="4"/>
  <c r="AQ139" i="4" s="1"/>
  <c r="T123" i="4"/>
  <c r="AQ123" i="4" s="1"/>
  <c r="T107" i="4"/>
  <c r="AQ107" i="4" s="1"/>
  <c r="T81" i="4"/>
  <c r="AQ81" i="4" s="1"/>
  <c r="T65" i="4"/>
  <c r="AQ65" i="4" s="1"/>
  <c r="T51" i="4"/>
  <c r="AQ51" i="4" s="1"/>
  <c r="L126" i="2"/>
  <c r="K38" i="5"/>
  <c r="B24" i="5"/>
  <c r="AG352" i="5"/>
  <c r="R134" i="4"/>
  <c r="R96" i="4"/>
  <c r="R71" i="4"/>
  <c r="R20" i="4"/>
  <c r="AP109" i="4"/>
  <c r="AP59" i="4"/>
  <c r="AP25" i="4"/>
  <c r="B57" i="5"/>
  <c r="B62" i="5"/>
  <c r="AM272" i="5" s="1"/>
  <c r="R126" i="4"/>
  <c r="R77" i="4"/>
  <c r="R24" i="4"/>
  <c r="R39" i="4"/>
  <c r="AP45" i="4"/>
  <c r="AP104" i="4"/>
  <c r="R91" i="4"/>
  <c r="R69" i="4"/>
  <c r="R148" i="4"/>
  <c r="R21" i="4"/>
  <c r="AP37" i="4"/>
  <c r="AP111" i="4"/>
  <c r="R70" i="4"/>
  <c r="R12" i="4"/>
  <c r="R140" i="4"/>
  <c r="AP128" i="4"/>
  <c r="AP156" i="4"/>
  <c r="B42" i="2"/>
  <c r="B3" i="8"/>
  <c r="AP33" i="4"/>
  <c r="AP58" i="4"/>
  <c r="AP127" i="4"/>
  <c r="AP123" i="4"/>
  <c r="AP148" i="4"/>
  <c r="AP53" i="4"/>
  <c r="AP94" i="4"/>
  <c r="B199" i="2"/>
  <c r="AP81" i="4"/>
  <c r="AP74" i="4"/>
  <c r="AP120" i="4"/>
  <c r="AP20" i="4"/>
  <c r="AP15" i="4"/>
  <c r="AP117" i="4"/>
  <c r="AP142" i="4"/>
  <c r="AP89" i="4"/>
  <c r="AP130" i="4"/>
  <c r="AP11" i="4"/>
  <c r="AP28" i="4"/>
  <c r="AP64" i="4"/>
  <c r="AP133" i="4"/>
  <c r="AP150" i="4"/>
  <c r="AP97" i="4"/>
  <c r="AP138" i="4"/>
  <c r="AP43" i="4"/>
  <c r="AP36" i="4"/>
  <c r="AP88" i="4"/>
  <c r="AP14" i="4"/>
  <c r="AP7" i="4"/>
  <c r="AP153" i="4"/>
  <c r="AP154" i="4"/>
  <c r="AP51" i="4"/>
  <c r="AP92" i="4"/>
  <c r="AP144" i="4"/>
  <c r="AP22" i="4"/>
  <c r="AP32" i="4"/>
  <c r="R10" i="4"/>
  <c r="R135" i="4"/>
  <c r="AP110" i="4"/>
  <c r="AP100" i="4"/>
  <c r="AP26" i="4"/>
  <c r="AP86" i="4"/>
  <c r="AP139" i="4"/>
  <c r="AP10" i="4"/>
  <c r="R19" i="4"/>
  <c r="R30" i="4"/>
  <c r="R100" i="4"/>
  <c r="R14" i="4"/>
  <c r="R95" i="4"/>
  <c r="R9" i="4"/>
  <c r="R93" i="4"/>
  <c r="R157" i="4"/>
  <c r="R86" i="4"/>
  <c r="R150" i="4"/>
  <c r="B191" i="2"/>
  <c r="B192" i="2" s="1"/>
  <c r="B220" i="2" s="1"/>
  <c r="B221" i="2" s="1"/>
  <c r="R23" i="4"/>
  <c r="R44" i="4"/>
  <c r="R108" i="4"/>
  <c r="R38" i="4"/>
  <c r="R103" i="4"/>
  <c r="R18" i="4"/>
  <c r="R101" i="4"/>
  <c r="R22" i="4"/>
  <c r="R94" i="4"/>
  <c r="R8" i="4"/>
  <c r="R27" i="4"/>
  <c r="R52" i="4"/>
  <c r="R116" i="4"/>
  <c r="R47" i="4"/>
  <c r="R111" i="4"/>
  <c r="R45" i="4"/>
  <c r="R109" i="4"/>
  <c r="R40" i="4"/>
  <c r="R102" i="4"/>
  <c r="R35" i="4"/>
  <c r="R68" i="4"/>
  <c r="R132" i="4"/>
  <c r="R63" i="4"/>
  <c r="R127" i="4"/>
  <c r="R61" i="4"/>
  <c r="R125" i="4"/>
  <c r="R54" i="4"/>
  <c r="R118" i="4"/>
  <c r="R7" i="4"/>
  <c r="R37" i="4"/>
  <c r="R73" i="4"/>
  <c r="R137" i="4"/>
  <c r="R66" i="4"/>
  <c r="R130" i="4"/>
  <c r="R64" i="4"/>
  <c r="R128" i="4"/>
  <c r="R59" i="4"/>
  <c r="R123" i="4"/>
  <c r="B42" i="5"/>
  <c r="T64" i="5" s="1"/>
  <c r="AG44" i="5"/>
  <c r="B183" i="2"/>
  <c r="H61" i="1" s="1"/>
  <c r="AG377" i="5"/>
  <c r="AI377" i="5" s="1"/>
  <c r="B62" i="2"/>
  <c r="B66" i="2"/>
  <c r="Q51" i="1"/>
  <c r="B127" i="2"/>
  <c r="B141" i="2"/>
  <c r="K141" i="2" s="1"/>
  <c r="B254" i="2"/>
  <c r="B256" i="2" s="1"/>
  <c r="B163" i="2"/>
  <c r="H47" i="1" s="1"/>
  <c r="K8" i="2"/>
  <c r="B60" i="2"/>
  <c r="B58" i="2"/>
  <c r="B203" i="2"/>
  <c r="H57" i="1"/>
  <c r="B179" i="2" s="1"/>
  <c r="AG48" i="5"/>
  <c r="AG496" i="5"/>
  <c r="O7" i="5"/>
  <c r="B219" i="2"/>
  <c r="AQ121" i="4"/>
  <c r="B48" i="2"/>
  <c r="B50" i="2"/>
  <c r="B12" i="5"/>
  <c r="AP41" i="4"/>
  <c r="AP105" i="4"/>
  <c r="AP18" i="4"/>
  <c r="AP82" i="4"/>
  <c r="AP146" i="4"/>
  <c r="AP143" i="4"/>
  <c r="AP136" i="4"/>
  <c r="AP67" i="4"/>
  <c r="AP131" i="4"/>
  <c r="AP44" i="4"/>
  <c r="AP108" i="4"/>
  <c r="AP47" i="4"/>
  <c r="AP112" i="4"/>
  <c r="AP61" i="4"/>
  <c r="AP125" i="4"/>
  <c r="AP38" i="4"/>
  <c r="AP102" i="4"/>
  <c r="AP23" i="4"/>
  <c r="AP96" i="4"/>
  <c r="B48" i="5"/>
  <c r="B205" i="2"/>
  <c r="AP57" i="4"/>
  <c r="AP121" i="4"/>
  <c r="AP34" i="4"/>
  <c r="AP98" i="4"/>
  <c r="AP31" i="4"/>
  <c r="AP24" i="4"/>
  <c r="AP19" i="4"/>
  <c r="AP83" i="4"/>
  <c r="AP147" i="4"/>
  <c r="AP60" i="4"/>
  <c r="AP124" i="4"/>
  <c r="AP103" i="4"/>
  <c r="AP13" i="4"/>
  <c r="AP77" i="4"/>
  <c r="AP141" i="4"/>
  <c r="AP54" i="4"/>
  <c r="AP118" i="4"/>
  <c r="AP63" i="4"/>
  <c r="AP152" i="4"/>
  <c r="O15" i="4"/>
  <c r="K126" i="2"/>
  <c r="M8" i="4"/>
  <c r="AP65" i="4"/>
  <c r="AP129" i="4"/>
  <c r="AP42" i="4"/>
  <c r="AP106" i="4"/>
  <c r="AP55" i="4"/>
  <c r="AP48" i="4"/>
  <c r="AP27" i="4"/>
  <c r="AP91" i="4"/>
  <c r="AP155" i="4"/>
  <c r="AP68" i="4"/>
  <c r="AP132" i="4"/>
  <c r="AP135" i="4"/>
  <c r="AP21" i="4"/>
  <c r="AP85" i="4"/>
  <c r="AP149" i="4"/>
  <c r="AP62" i="4"/>
  <c r="AP126" i="4"/>
  <c r="AP95" i="4"/>
  <c r="J125" i="2"/>
  <c r="AP9" i="4"/>
  <c r="AP73" i="4"/>
  <c r="AP137" i="4"/>
  <c r="AP50" i="4"/>
  <c r="AP114" i="4"/>
  <c r="AP71" i="4"/>
  <c r="AP72" i="4"/>
  <c r="AP35" i="4"/>
  <c r="AP99" i="4"/>
  <c r="AP12" i="4"/>
  <c r="AP76" i="4"/>
  <c r="AP140" i="4"/>
  <c r="AP8" i="4"/>
  <c r="AP29" i="4"/>
  <c r="AP93" i="4"/>
  <c r="AP157" i="4"/>
  <c r="AP70" i="4"/>
  <c r="AP134" i="4"/>
  <c r="AP119" i="4"/>
  <c r="T65" i="5"/>
  <c r="AG239" i="5"/>
  <c r="AG553" i="5"/>
  <c r="AP151" i="4"/>
  <c r="AP78" i="4"/>
  <c r="AP101" i="4"/>
  <c r="AP40" i="4"/>
  <c r="AP84" i="4"/>
  <c r="AP107" i="4"/>
  <c r="AP80" i="4"/>
  <c r="AP122" i="4"/>
  <c r="AP145" i="4"/>
  <c r="AP17" i="4"/>
  <c r="B39" i="2"/>
  <c r="H17" i="1" s="1"/>
  <c r="B189" i="2"/>
  <c r="P7" i="5" s="1"/>
  <c r="B197" i="2"/>
  <c r="B198" i="2" s="1"/>
  <c r="R25" i="4"/>
  <c r="R41" i="4"/>
  <c r="R49" i="4"/>
  <c r="R81" i="4"/>
  <c r="R113" i="4"/>
  <c r="R145" i="4"/>
  <c r="R42" i="4"/>
  <c r="R74" i="4"/>
  <c r="R106" i="4"/>
  <c r="R138" i="4"/>
  <c r="R32" i="4"/>
  <c r="R72" i="4"/>
  <c r="R104" i="4"/>
  <c r="R136" i="4"/>
  <c r="R26" i="4"/>
  <c r="R67" i="4"/>
  <c r="R99" i="4"/>
  <c r="R131" i="4"/>
  <c r="R13" i="4"/>
  <c r="B44" i="2"/>
  <c r="R29" i="4"/>
  <c r="R28" i="4"/>
  <c r="R57" i="4"/>
  <c r="R89" i="4"/>
  <c r="R121" i="4"/>
  <c r="R153" i="4"/>
  <c r="R50" i="4"/>
  <c r="R82" i="4"/>
  <c r="R114" i="4"/>
  <c r="R146" i="4"/>
  <c r="R48" i="4"/>
  <c r="R80" i="4"/>
  <c r="R112" i="4"/>
  <c r="R144" i="4"/>
  <c r="R43" i="4"/>
  <c r="R75" i="4"/>
  <c r="R107" i="4"/>
  <c r="R139" i="4"/>
  <c r="B52" i="2"/>
  <c r="R15" i="4"/>
  <c r="R31" i="4"/>
  <c r="R36" i="4"/>
  <c r="R60" i="4"/>
  <c r="R92" i="4"/>
  <c r="R124" i="4"/>
  <c r="R156" i="4"/>
  <c r="R55" i="4"/>
  <c r="R87" i="4"/>
  <c r="R119" i="4"/>
  <c r="R151" i="4"/>
  <c r="R53" i="4"/>
  <c r="R85" i="4"/>
  <c r="R117" i="4"/>
  <c r="R149" i="4"/>
  <c r="R46" i="4"/>
  <c r="R78" i="4"/>
  <c r="R110" i="4"/>
  <c r="R142" i="4"/>
  <c r="B161" i="2"/>
  <c r="H45" i="1" s="1"/>
  <c r="B55" i="2"/>
  <c r="B68" i="2"/>
  <c r="R17" i="4"/>
  <c r="R33" i="4"/>
  <c r="R16" i="4"/>
  <c r="R65" i="4"/>
  <c r="R97" i="4"/>
  <c r="R129" i="4"/>
  <c r="R11" i="4"/>
  <c r="R58" i="4"/>
  <c r="R90" i="4"/>
  <c r="R122" i="4"/>
  <c r="R154" i="4"/>
  <c r="R56" i="4"/>
  <c r="R88" i="4"/>
  <c r="R120" i="4"/>
  <c r="R152" i="4"/>
  <c r="R51" i="4"/>
  <c r="R83" i="4"/>
  <c r="R115" i="4"/>
  <c r="R147" i="4"/>
  <c r="B185" i="2"/>
  <c r="J126" i="2"/>
  <c r="B29" i="5"/>
  <c r="B202" i="2"/>
  <c r="AP39" i="4"/>
  <c r="AP46" i="4"/>
  <c r="AP69" i="4"/>
  <c r="AP79" i="4"/>
  <c r="AP52" i="4"/>
  <c r="AP75" i="4"/>
  <c r="AP16" i="4"/>
  <c r="AP90" i="4"/>
  <c r="AP113" i="4"/>
  <c r="AG229" i="5"/>
  <c r="AG378" i="5"/>
  <c r="AG26" i="5"/>
  <c r="AG372" i="5"/>
  <c r="AG470" i="5"/>
  <c r="AG354" i="5"/>
  <c r="AG520" i="5"/>
  <c r="AG210" i="5"/>
  <c r="AG528" i="5"/>
  <c r="AG222" i="5"/>
  <c r="AG404" i="5"/>
  <c r="B4" i="8"/>
  <c r="B64" i="2"/>
  <c r="B46" i="2"/>
  <c r="B61" i="5"/>
  <c r="B171" i="2"/>
  <c r="H52" i="1" s="1"/>
  <c r="B173" i="2"/>
  <c r="AG81" i="5"/>
  <c r="B64" i="5"/>
  <c r="AJ64" i="5" s="1"/>
  <c r="AG25" i="5" l="1"/>
  <c r="AG30" i="5"/>
  <c r="AG78" i="5"/>
  <c r="AG205" i="5"/>
  <c r="AG258" i="5"/>
  <c r="AG313" i="5"/>
  <c r="AG199" i="5"/>
  <c r="AG104" i="5"/>
  <c r="AG40" i="5"/>
  <c r="AG509" i="5"/>
  <c r="AG91" i="5"/>
  <c r="AG305" i="5"/>
  <c r="AI305" i="5" s="1"/>
  <c r="AG278" i="5"/>
  <c r="AG340" i="5"/>
  <c r="AG420" i="5"/>
  <c r="AG477" i="5"/>
  <c r="AI477" i="5" s="1"/>
  <c r="AG45" i="5"/>
  <c r="AG42" i="5"/>
  <c r="AG447" i="5"/>
  <c r="AG392" i="5"/>
  <c r="AH392" i="5" s="1"/>
  <c r="AG424" i="5"/>
  <c r="AG84" i="5"/>
  <c r="AH84" i="5" s="1"/>
  <c r="AG68" i="5"/>
  <c r="AH68" i="5" s="1"/>
  <c r="AG295" i="5"/>
  <c r="AH295" i="5" s="1"/>
  <c r="AG209" i="5"/>
  <c r="AI209" i="5" s="1"/>
  <c r="AG188" i="5"/>
  <c r="AH188" i="5" s="1"/>
  <c r="AG259" i="5"/>
  <c r="AH259" i="5" s="1"/>
  <c r="AG97" i="5"/>
  <c r="AI97" i="5" s="1"/>
  <c r="AG498" i="5"/>
  <c r="AI498" i="5" s="1"/>
  <c r="AG70" i="5"/>
  <c r="AI70" i="5" s="1"/>
  <c r="AG421" i="5"/>
  <c r="AH421" i="5" s="1"/>
  <c r="AG422" i="5"/>
  <c r="AI422" i="5" s="1"/>
  <c r="AG126" i="5"/>
  <c r="AI126" i="5" s="1"/>
  <c r="AG348" i="5"/>
  <c r="AH348" i="5" s="1"/>
  <c r="AG492" i="5"/>
  <c r="AG165" i="5"/>
  <c r="AI165" i="5" s="1"/>
  <c r="AG175" i="5"/>
  <c r="AI175" i="5" s="1"/>
  <c r="AG128" i="5"/>
  <c r="AH128" i="5" s="1"/>
  <c r="AG546" i="5"/>
  <c r="AI546" i="5" s="1"/>
  <c r="AG358" i="5"/>
  <c r="AI358" i="5" s="1"/>
  <c r="AG108" i="5"/>
  <c r="AI108" i="5" s="1"/>
  <c r="AG217" i="5"/>
  <c r="AH217" i="5" s="1"/>
  <c r="AG257" i="5"/>
  <c r="AI257" i="5" s="1"/>
  <c r="AG557" i="5"/>
  <c r="AH557" i="5" s="1"/>
  <c r="AG466" i="5"/>
  <c r="AH466" i="5" s="1"/>
  <c r="AG149" i="5"/>
  <c r="AI149" i="5" s="1"/>
  <c r="AG410" i="5"/>
  <c r="AH410" i="5" s="1"/>
  <c r="AG182" i="5"/>
  <c r="AI182" i="5" s="1"/>
  <c r="AG522" i="5"/>
  <c r="AI522" i="5" s="1"/>
  <c r="AG138" i="5"/>
  <c r="AI138" i="5" s="1"/>
  <c r="AG418" i="5"/>
  <c r="AI418" i="5" s="1"/>
  <c r="AG306" i="5"/>
  <c r="AI306" i="5" s="1"/>
  <c r="AG346" i="5"/>
  <c r="AH346" i="5" s="1"/>
  <c r="AG133" i="5"/>
  <c r="AG419" i="5"/>
  <c r="AH419" i="5" s="1"/>
  <c r="AG488" i="5"/>
  <c r="AH488" i="5" s="1"/>
  <c r="AG144" i="5"/>
  <c r="AH144" i="5" s="1"/>
  <c r="AG529" i="5"/>
  <c r="AI529" i="5" s="1"/>
  <c r="AG272" i="5"/>
  <c r="AI272" i="5" s="1"/>
  <c r="AG201" i="5"/>
  <c r="AH201" i="5" s="1"/>
  <c r="AG362" i="5"/>
  <c r="AI362" i="5" s="1"/>
  <c r="AG379" i="5"/>
  <c r="AI379" i="5" s="1"/>
  <c r="AG337" i="5"/>
  <c r="AH337" i="5" s="1"/>
  <c r="AG499" i="5"/>
  <c r="AH499" i="5" s="1"/>
  <c r="AG389" i="5"/>
  <c r="AI389" i="5" s="1"/>
  <c r="AG117" i="5"/>
  <c r="AI117" i="5" s="1"/>
  <c r="AG178" i="5"/>
  <c r="AI178" i="5" s="1"/>
  <c r="AG486" i="5"/>
  <c r="AI486" i="5" s="1"/>
  <c r="AG276" i="5"/>
  <c r="AI276" i="5" s="1"/>
  <c r="AG29" i="5"/>
  <c r="AI29" i="5" s="1"/>
  <c r="AG450" i="5"/>
  <c r="AG189" i="5"/>
  <c r="AI189" i="5" s="1"/>
  <c r="AG428" i="5"/>
  <c r="AH428" i="5" s="1"/>
  <c r="AG382" i="5"/>
  <c r="AI382" i="5" s="1"/>
  <c r="AG158" i="5"/>
  <c r="AG548" i="5"/>
  <c r="AI548" i="5" s="1"/>
  <c r="AG286" i="5"/>
  <c r="AI286" i="5" s="1"/>
  <c r="AG93" i="5"/>
  <c r="AI93" i="5" s="1"/>
  <c r="AG223" i="5"/>
  <c r="AH223" i="5" s="1"/>
  <c r="AG55" i="5"/>
  <c r="AI55" i="5" s="1"/>
  <c r="AG264" i="5"/>
  <c r="AI264" i="5" s="1"/>
  <c r="AG96" i="5"/>
  <c r="AH96" i="5" s="1"/>
  <c r="AG507" i="5"/>
  <c r="AH507" i="5" s="1"/>
  <c r="AG376" i="5"/>
  <c r="AI376" i="5" s="1"/>
  <c r="AG180" i="5"/>
  <c r="AH180" i="5" s="1"/>
  <c r="AG251" i="5"/>
  <c r="AH251" i="5" s="1"/>
  <c r="AG277" i="5"/>
  <c r="AI277" i="5" s="1"/>
  <c r="AG307" i="5"/>
  <c r="AH307" i="5" s="1"/>
  <c r="AG374" i="5"/>
  <c r="AI374" i="5" s="1"/>
  <c r="AG559" i="5"/>
  <c r="AI559" i="5" s="1"/>
  <c r="AG99" i="5"/>
  <c r="AH99" i="5" s="1"/>
  <c r="AG457" i="5"/>
  <c r="AI457" i="5" s="1"/>
  <c r="AG299" i="5"/>
  <c r="AI299" i="5" s="1"/>
  <c r="AG119" i="5"/>
  <c r="AH119" i="5" s="1"/>
  <c r="AG527" i="5"/>
  <c r="AH527" i="5" s="1"/>
  <c r="AG531" i="5"/>
  <c r="AH531" i="5" s="1"/>
  <c r="AG398" i="5"/>
  <c r="AH398" i="5" s="1"/>
  <c r="AG245" i="5"/>
  <c r="AI245" i="5" s="1"/>
  <c r="AG37" i="5"/>
  <c r="AI37" i="5" s="1"/>
  <c r="AG494" i="5"/>
  <c r="AH494" i="5" s="1"/>
  <c r="AG261" i="5"/>
  <c r="AH261" i="5" s="1"/>
  <c r="AG142" i="5"/>
  <c r="AI142" i="5" s="1"/>
  <c r="AG551" i="5"/>
  <c r="AG226" i="5"/>
  <c r="AH226" i="5" s="1"/>
  <c r="AG154" i="5"/>
  <c r="AI154" i="5" s="1"/>
  <c r="AG77" i="5"/>
  <c r="AH77" i="5" s="1"/>
  <c r="AG485" i="5"/>
  <c r="AG290" i="5"/>
  <c r="AH290" i="5" s="1"/>
  <c r="AG252" i="5"/>
  <c r="AI252" i="5" s="1"/>
  <c r="AG536" i="5"/>
  <c r="AH536" i="5" s="1"/>
  <c r="AG417" i="5"/>
  <c r="AG250" i="5"/>
  <c r="AH250" i="5" s="1"/>
  <c r="AG121" i="5"/>
  <c r="AI121" i="5" s="1"/>
  <c r="AG463" i="5"/>
  <c r="AH463" i="5" s="1"/>
  <c r="AG219" i="5"/>
  <c r="AG103" i="5"/>
  <c r="AH103" i="5" s="1"/>
  <c r="AG232" i="5"/>
  <c r="AI232" i="5" s="1"/>
  <c r="AG192" i="5"/>
  <c r="AH192" i="5" s="1"/>
  <c r="AG361" i="5"/>
  <c r="AI361" i="5" s="1"/>
  <c r="AG347" i="5"/>
  <c r="AI347" i="5" s="1"/>
  <c r="AG19" i="5"/>
  <c r="AI19" i="5" s="1"/>
  <c r="AG456" i="5"/>
  <c r="AH456" i="5" s="1"/>
  <c r="AG168" i="5"/>
  <c r="AH168" i="5" s="1"/>
  <c r="AG177" i="5"/>
  <c r="AI177" i="5" s="1"/>
  <c r="AG228" i="5"/>
  <c r="AI228" i="5" s="1"/>
  <c r="AG71" i="5"/>
  <c r="AI71" i="5" s="1"/>
  <c r="AG147" i="5"/>
  <c r="AI147" i="5" s="1"/>
  <c r="AG171" i="5"/>
  <c r="AI171" i="5" s="1"/>
  <c r="AG183" i="5"/>
  <c r="AI183" i="5" s="1"/>
  <c r="AM258" i="5"/>
  <c r="AM519" i="5"/>
  <c r="AM530" i="5"/>
  <c r="AN530" i="5" s="1"/>
  <c r="AM370" i="5"/>
  <c r="AN370" i="5" s="1"/>
  <c r="AG129" i="5"/>
  <c r="AH129" i="5" s="1"/>
  <c r="AG491" i="5"/>
  <c r="AG131" i="5"/>
  <c r="AI131" i="5" s="1"/>
  <c r="AG473" i="5"/>
  <c r="AI473" i="5" s="1"/>
  <c r="AG355" i="5"/>
  <c r="AI355" i="5" s="1"/>
  <c r="AG535" i="5"/>
  <c r="AG461" i="5"/>
  <c r="AH461" i="5" s="1"/>
  <c r="AG462" i="5"/>
  <c r="AI462" i="5" s="1"/>
  <c r="AG338" i="5"/>
  <c r="AH338" i="5" s="1"/>
  <c r="AG166" i="5"/>
  <c r="AG148" i="5"/>
  <c r="AH148" i="5" s="1"/>
  <c r="AG444" i="5"/>
  <c r="AH444" i="5" s="1"/>
  <c r="AG412" i="5"/>
  <c r="AH412" i="5" s="1"/>
  <c r="AG397" i="5"/>
  <c r="AI397" i="5" s="1"/>
  <c r="AG190" i="5"/>
  <c r="AH190" i="5" s="1"/>
  <c r="AG34" i="5"/>
  <c r="AH34" i="5" s="1"/>
  <c r="AG524" i="5"/>
  <c r="AI524" i="5" s="1"/>
  <c r="AG381" i="5"/>
  <c r="AH381" i="5" s="1"/>
  <c r="AG270" i="5"/>
  <c r="AH270" i="5" s="1"/>
  <c r="AG181" i="5"/>
  <c r="AH181" i="5" s="1"/>
  <c r="AG21" i="5"/>
  <c r="AH21" i="5" s="1"/>
  <c r="AG452" i="5"/>
  <c r="AI452" i="5" s="1"/>
  <c r="AG326" i="5"/>
  <c r="AH326" i="5" s="1"/>
  <c r="AG244" i="5"/>
  <c r="AH244" i="5" s="1"/>
  <c r="AG140" i="5"/>
  <c r="AI140" i="5" s="1"/>
  <c r="AG544" i="5"/>
  <c r="AH544" i="5" s="1"/>
  <c r="AG370" i="5"/>
  <c r="AH370" i="5" s="1"/>
  <c r="AG284" i="5"/>
  <c r="AI284" i="5" s="1"/>
  <c r="AG273" i="5"/>
  <c r="AI273" i="5" s="1"/>
  <c r="AG92" i="5"/>
  <c r="AG38" i="5"/>
  <c r="AH38" i="5" s="1"/>
  <c r="AG525" i="5"/>
  <c r="AH525" i="5" s="1"/>
  <c r="AG335" i="5"/>
  <c r="AH335" i="5" s="1"/>
  <c r="AG135" i="5"/>
  <c r="AH135" i="5" s="1"/>
  <c r="AG87" i="5"/>
  <c r="AI87" i="5" s="1"/>
  <c r="AG328" i="5"/>
  <c r="AI328" i="5" s="1"/>
  <c r="AG296" i="5"/>
  <c r="AH296" i="5" s="1"/>
  <c r="AG24" i="5"/>
  <c r="AG425" i="5"/>
  <c r="AI425" i="5" s="1"/>
  <c r="AG443" i="5"/>
  <c r="AI443" i="5" s="1"/>
  <c r="AG28" i="5"/>
  <c r="AH28" i="5" s="1"/>
  <c r="AG344" i="5"/>
  <c r="AH344" i="5" s="1"/>
  <c r="AG120" i="5"/>
  <c r="AI120" i="5" s="1"/>
  <c r="AG98" i="5"/>
  <c r="AI98" i="5" s="1"/>
  <c r="AG502" i="5"/>
  <c r="AH502" i="5" s="1"/>
  <c r="AG322" i="5"/>
  <c r="AH322" i="5" s="1"/>
  <c r="AG35" i="5"/>
  <c r="AH35" i="5" s="1"/>
  <c r="AG100" i="5"/>
  <c r="AH100" i="5" s="1"/>
  <c r="AG114" i="5"/>
  <c r="AI114" i="5" s="1"/>
  <c r="AG429" i="5"/>
  <c r="AI429" i="5" s="1"/>
  <c r="AG480" i="5"/>
  <c r="AH480" i="5" s="1"/>
  <c r="AG224" i="5"/>
  <c r="AH224" i="5" s="1"/>
  <c r="AG32" i="5"/>
  <c r="AI32" i="5" s="1"/>
  <c r="AG289" i="5"/>
  <c r="AI289" i="5" s="1"/>
  <c r="AG59" i="5"/>
  <c r="AI59" i="5" s="1"/>
  <c r="AG309" i="5"/>
  <c r="AI309" i="5" s="1"/>
  <c r="AG505" i="5"/>
  <c r="AI505" i="5" s="1"/>
  <c r="AG83" i="5"/>
  <c r="AI83" i="5" s="1"/>
  <c r="AG427" i="5"/>
  <c r="AH427" i="5" s="1"/>
  <c r="AG196" i="5"/>
  <c r="AH196" i="5" s="1"/>
  <c r="AG179" i="5"/>
  <c r="AH179" i="5" s="1"/>
  <c r="AG484" i="5"/>
  <c r="AH484" i="5" s="1"/>
  <c r="AG468" i="5"/>
  <c r="AH468" i="5" s="1"/>
  <c r="AG85" i="5"/>
  <c r="AI85" i="5" s="1"/>
  <c r="AG550" i="5"/>
  <c r="AH550" i="5" s="1"/>
  <c r="AG469" i="5"/>
  <c r="AI469" i="5" s="1"/>
  <c r="AG293" i="5"/>
  <c r="AH293" i="5" s="1"/>
  <c r="AG132" i="5"/>
  <c r="AH132" i="5" s="1"/>
  <c r="AG283" i="5"/>
  <c r="AH283" i="5" s="1"/>
  <c r="AG521" i="5"/>
  <c r="AG267" i="5"/>
  <c r="AH267" i="5" s="1"/>
  <c r="AG497" i="5"/>
  <c r="AH497" i="5" s="1"/>
  <c r="AG552" i="5"/>
  <c r="AH552" i="5" s="1"/>
  <c r="AG294" i="5"/>
  <c r="AH294" i="5" s="1"/>
  <c r="AG364" i="5"/>
  <c r="AI364" i="5" s="1"/>
  <c r="AG260" i="5"/>
  <c r="AI260" i="5" s="1"/>
  <c r="AG162" i="5"/>
  <c r="AI162" i="5" s="1"/>
  <c r="AG82" i="5"/>
  <c r="AI82" i="5" s="1"/>
  <c r="AG558" i="5"/>
  <c r="AH558" i="5" s="1"/>
  <c r="AG530" i="5"/>
  <c r="AI530" i="5" s="1"/>
  <c r="AG386" i="5"/>
  <c r="AI386" i="5" s="1"/>
  <c r="AG341" i="5"/>
  <c r="AG221" i="5"/>
  <c r="AI221" i="5" s="1"/>
  <c r="AG141" i="5"/>
  <c r="AI141" i="5" s="1"/>
  <c r="AG556" i="5"/>
  <c r="AI556" i="5" s="1"/>
  <c r="AG458" i="5"/>
  <c r="AI458" i="5" s="1"/>
  <c r="AG390" i="5"/>
  <c r="AI390" i="5" s="1"/>
  <c r="AG394" i="5"/>
  <c r="AI394" i="5" s="1"/>
  <c r="AG234" i="5"/>
  <c r="AH234" i="5" s="1"/>
  <c r="AG173" i="5"/>
  <c r="AG22" i="5"/>
  <c r="AI22" i="5" s="1"/>
  <c r="AG506" i="5"/>
  <c r="AH506" i="5" s="1"/>
  <c r="AG350" i="5"/>
  <c r="AI350" i="5" s="1"/>
  <c r="AG437" i="5"/>
  <c r="AG285" i="5"/>
  <c r="AI285" i="5" s="1"/>
  <c r="AG274" i="5"/>
  <c r="AI274" i="5" s="1"/>
  <c r="AG134" i="5"/>
  <c r="AI134" i="5" s="1"/>
  <c r="AG426" i="5"/>
  <c r="AG516" i="5"/>
  <c r="AH516" i="5" s="1"/>
  <c r="AG396" i="5"/>
  <c r="AI396" i="5" s="1"/>
  <c r="AG237" i="5"/>
  <c r="AI237" i="5" s="1"/>
  <c r="AG233" i="5"/>
  <c r="AI233" i="5" s="1"/>
  <c r="AG110" i="5"/>
  <c r="AI110" i="5" s="1"/>
  <c r="AG54" i="5"/>
  <c r="AH54" i="5" s="1"/>
  <c r="AG455" i="5"/>
  <c r="AH455" i="5" s="1"/>
  <c r="AG359" i="5"/>
  <c r="AG127" i="5"/>
  <c r="AH127" i="5" s="1"/>
  <c r="AG31" i="5"/>
  <c r="AH31" i="5" s="1"/>
  <c r="AG432" i="5"/>
  <c r="AI432" i="5" s="1"/>
  <c r="AG368" i="5"/>
  <c r="AG280" i="5"/>
  <c r="AI280" i="5" s="1"/>
  <c r="AG176" i="5"/>
  <c r="AH176" i="5" s="1"/>
  <c r="AG72" i="5"/>
  <c r="AH72" i="5" s="1"/>
  <c r="AG513" i="5"/>
  <c r="AH513" i="5" s="1"/>
  <c r="AG519" i="5"/>
  <c r="AI519" i="5" s="1"/>
  <c r="AG319" i="5"/>
  <c r="AI319" i="5" s="1"/>
  <c r="AG526" i="5"/>
  <c r="AI526" i="5" s="1"/>
  <c r="AG504" i="5"/>
  <c r="AI504" i="5" s="1"/>
  <c r="AG416" i="5"/>
  <c r="AI416" i="5" s="1"/>
  <c r="AG152" i="5"/>
  <c r="AH152" i="5" s="1"/>
  <c r="AG80" i="5"/>
  <c r="AI80" i="5" s="1"/>
  <c r="AG169" i="5"/>
  <c r="AI169" i="5" s="1"/>
  <c r="AG41" i="5"/>
  <c r="AI41" i="5" s="1"/>
  <c r="AG186" i="5"/>
  <c r="AH186" i="5" s="1"/>
  <c r="AG407" i="5"/>
  <c r="AI407" i="5" s="1"/>
  <c r="AG102" i="5"/>
  <c r="AH102" i="5" s="1"/>
  <c r="AG268" i="5"/>
  <c r="AI268" i="5" s="1"/>
  <c r="AG187" i="5"/>
  <c r="AH187" i="5" s="1"/>
  <c r="AG170" i="5"/>
  <c r="AI170" i="5" s="1"/>
  <c r="AG515" i="5"/>
  <c r="AI515" i="5" s="1"/>
  <c r="AG246" i="5"/>
  <c r="AI246" i="5" s="1"/>
  <c r="AG467" i="5"/>
  <c r="AI467" i="5" s="1"/>
  <c r="AG253" i="5"/>
  <c r="AH253" i="5" s="1"/>
  <c r="AG115" i="5"/>
  <c r="AI115" i="5" s="1"/>
  <c r="AG411" i="5"/>
  <c r="AI411" i="5" s="1"/>
  <c r="AG137" i="5"/>
  <c r="AH137" i="5" s="1"/>
  <c r="AH71" i="5"/>
  <c r="AG500" i="5"/>
  <c r="AI500" i="5" s="1"/>
  <c r="AG197" i="5"/>
  <c r="AI197" i="5" s="1"/>
  <c r="AG501" i="5"/>
  <c r="AI501" i="5" s="1"/>
  <c r="AG315" i="5"/>
  <c r="AI315" i="5" s="1"/>
  <c r="AG50" i="5"/>
  <c r="AI50" i="5" s="1"/>
  <c r="AG323" i="5"/>
  <c r="AI323" i="5" s="1"/>
  <c r="AG413" i="5"/>
  <c r="AH413" i="5" s="1"/>
  <c r="AG111" i="5"/>
  <c r="AI111" i="5" s="1"/>
  <c r="AG357" i="5"/>
  <c r="AH357" i="5" s="1"/>
  <c r="AG106" i="5"/>
  <c r="AI106" i="5" s="1"/>
  <c r="AG415" i="5"/>
  <c r="AI415" i="5" s="1"/>
  <c r="AG90" i="5"/>
  <c r="AH90" i="5" s="1"/>
  <c r="AG279" i="5"/>
  <c r="AI279" i="5" s="1"/>
  <c r="AG204" i="5"/>
  <c r="AH204" i="5" s="1"/>
  <c r="AG236" i="5"/>
  <c r="AI236" i="5" s="1"/>
  <c r="AM449" i="5"/>
  <c r="AO449" i="5" s="1"/>
  <c r="AM235" i="5"/>
  <c r="AO235" i="5" s="1"/>
  <c r="AM476" i="5"/>
  <c r="AN476" i="5" s="1"/>
  <c r="AM285" i="5"/>
  <c r="AN285" i="5" s="1"/>
  <c r="AM133" i="5"/>
  <c r="AM332" i="5"/>
  <c r="AO332" i="5" s="1"/>
  <c r="AM251" i="5"/>
  <c r="AO251" i="5" s="1"/>
  <c r="AM395" i="5"/>
  <c r="AO395" i="5" s="1"/>
  <c r="AM66" i="5"/>
  <c r="AM253" i="5"/>
  <c r="AO253" i="5" s="1"/>
  <c r="AM459" i="5"/>
  <c r="AN459" i="5" s="1"/>
  <c r="AM445" i="5"/>
  <c r="AO445" i="5" s="1"/>
  <c r="AM486" i="5"/>
  <c r="AM93" i="5"/>
  <c r="AN93" i="5" s="1"/>
  <c r="AM525" i="5"/>
  <c r="AN525" i="5" s="1"/>
  <c r="AG151" i="5"/>
  <c r="AI151" i="5" s="1"/>
  <c r="AG231" i="5"/>
  <c r="AH231" i="5" s="1"/>
  <c r="AG414" i="5"/>
  <c r="AI414" i="5" s="1"/>
  <c r="AG475" i="5"/>
  <c r="AG206" i="5"/>
  <c r="AH206" i="5" s="1"/>
  <c r="AG446" i="5"/>
  <c r="AI446" i="5" s="1"/>
  <c r="AG489" i="5"/>
  <c r="AH489" i="5" s="1"/>
  <c r="AG271" i="5"/>
  <c r="AH271" i="5" s="1"/>
  <c r="AG125" i="5"/>
  <c r="AG39" i="5"/>
  <c r="AH39" i="5" s="1"/>
  <c r="AG442" i="5"/>
  <c r="AI442" i="5" s="1"/>
  <c r="AG269" i="5"/>
  <c r="AI269" i="5" s="1"/>
  <c r="AG167" i="5"/>
  <c r="AH167" i="5" s="1"/>
  <c r="AG62" i="5"/>
  <c r="AH62" i="5" s="1"/>
  <c r="AG435" i="5"/>
  <c r="AG349" i="5"/>
  <c r="AI349" i="5" s="1"/>
  <c r="AG227" i="5"/>
  <c r="AH227" i="5" s="1"/>
  <c r="AG60" i="5"/>
  <c r="AH60" i="5" s="1"/>
  <c r="AG423" i="5"/>
  <c r="AI423" i="5" s="1"/>
  <c r="AG401" i="5"/>
  <c r="AH401" i="5" s="1"/>
  <c r="AG215" i="5"/>
  <c r="AI215" i="5" s="1"/>
  <c r="AG76" i="5"/>
  <c r="AI76" i="5" s="1"/>
  <c r="AG539" i="5"/>
  <c r="AI539" i="5" s="1"/>
  <c r="AG298" i="5"/>
  <c r="AG254" i="5"/>
  <c r="AH254" i="5" s="1"/>
  <c r="AG124" i="5"/>
  <c r="AG67" i="5"/>
  <c r="AG139" i="5"/>
  <c r="AH139" i="5" s="1"/>
  <c r="AG235" i="5"/>
  <c r="AI235" i="5" s="1"/>
  <c r="AG371" i="5"/>
  <c r="AI371" i="5" s="1"/>
  <c r="AG308" i="5"/>
  <c r="AH308" i="5" s="1"/>
  <c r="AG163" i="5"/>
  <c r="AH163" i="5" s="1"/>
  <c r="AG490" i="5"/>
  <c r="AI490" i="5" s="1"/>
  <c r="AG310" i="5"/>
  <c r="AH310" i="5" s="1"/>
  <c r="AG220" i="5"/>
  <c r="AI220" i="5" s="1"/>
  <c r="AG145" i="5"/>
  <c r="AI145" i="5" s="1"/>
  <c r="AG57" i="5"/>
  <c r="AI57" i="5" s="1"/>
  <c r="AG193" i="5"/>
  <c r="AI193" i="5" s="1"/>
  <c r="AG297" i="5"/>
  <c r="AI297" i="5" s="1"/>
  <c r="AG88" i="5"/>
  <c r="AH88" i="5" s="1"/>
  <c r="AG208" i="5"/>
  <c r="AH208" i="5" s="1"/>
  <c r="AG136" i="5"/>
  <c r="AH136" i="5" s="1"/>
  <c r="AG248" i="5"/>
  <c r="AH248" i="5" s="1"/>
  <c r="AG400" i="5"/>
  <c r="AI400" i="5" s="1"/>
  <c r="AG336" i="5"/>
  <c r="AH336" i="5" s="1"/>
  <c r="AG472" i="5"/>
  <c r="AH472" i="5" s="1"/>
  <c r="AG534" i="5"/>
  <c r="AH534" i="5" s="1"/>
  <c r="AG554" i="5"/>
  <c r="AH554" i="5" s="1"/>
  <c r="AG375" i="5"/>
  <c r="AI375" i="5" s="1"/>
  <c r="AG36" i="5"/>
  <c r="AH36" i="5" s="1"/>
  <c r="AG403" i="5"/>
  <c r="AI403" i="5" s="1"/>
  <c r="AG459" i="5"/>
  <c r="AI459" i="5" s="1"/>
  <c r="AG549" i="5"/>
  <c r="AI549" i="5" s="1"/>
  <c r="AG353" i="5"/>
  <c r="AI353" i="5" s="1"/>
  <c r="AG547" i="5"/>
  <c r="AI547" i="5" s="1"/>
  <c r="AG112" i="5"/>
  <c r="AI112" i="5" s="1"/>
  <c r="AG64" i="5"/>
  <c r="AI64" i="5" s="1"/>
  <c r="AG216" i="5"/>
  <c r="AI216" i="5" s="1"/>
  <c r="AG160" i="5"/>
  <c r="AI160" i="5" s="1"/>
  <c r="AG304" i="5"/>
  <c r="AI304" i="5" s="1"/>
  <c r="AG256" i="5"/>
  <c r="AH256" i="5" s="1"/>
  <c r="AG384" i="5"/>
  <c r="AH384" i="5" s="1"/>
  <c r="AG512" i="5"/>
  <c r="AI512" i="5" s="1"/>
  <c r="AG448" i="5"/>
  <c r="AH448" i="5" s="1"/>
  <c r="AG79" i="5"/>
  <c r="AH79" i="5" s="1"/>
  <c r="AG23" i="5"/>
  <c r="AH23" i="5" s="1"/>
  <c r="AG143" i="5"/>
  <c r="AH143" i="5" s="1"/>
  <c r="AG287" i="5"/>
  <c r="AH287" i="5" s="1"/>
  <c r="AG383" i="5"/>
  <c r="AI383" i="5" s="1"/>
  <c r="AG327" i="5"/>
  <c r="AH327" i="5" s="1"/>
  <c r="AG487" i="5"/>
  <c r="AH487" i="5" s="1"/>
  <c r="AG439" i="5"/>
  <c r="AH439" i="5" s="1"/>
  <c r="AG545" i="5"/>
  <c r="AH545" i="5" s="1"/>
  <c r="AG65" i="5"/>
  <c r="AH65" i="5" s="1"/>
  <c r="AG89" i="5"/>
  <c r="AI89" i="5" s="1"/>
  <c r="AG153" i="5"/>
  <c r="AH153" i="5" s="1"/>
  <c r="AG164" i="5"/>
  <c r="AI164" i="5" s="1"/>
  <c r="AG301" i="5"/>
  <c r="AI301" i="5" s="1"/>
  <c r="AG316" i="5"/>
  <c r="AI316" i="5" s="1"/>
  <c r="AG345" i="5"/>
  <c r="AH345" i="5" s="1"/>
  <c r="AG321" i="5"/>
  <c r="AI321" i="5" s="1"/>
  <c r="AG438" i="5"/>
  <c r="AH438" i="5" s="1"/>
  <c r="AG474" i="5"/>
  <c r="AI474" i="5" s="1"/>
  <c r="AG542" i="5"/>
  <c r="AI542" i="5" s="1"/>
  <c r="AG449" i="5"/>
  <c r="AI449" i="5" s="1"/>
  <c r="AG94" i="5"/>
  <c r="AH94" i="5" s="1"/>
  <c r="AG51" i="5"/>
  <c r="AH51" i="5" s="1"/>
  <c r="AG291" i="5"/>
  <c r="AI291" i="5" s="1"/>
  <c r="AG211" i="5"/>
  <c r="AH211" i="5" s="1"/>
  <c r="AG451" i="5"/>
  <c r="AI451" i="5" s="1"/>
  <c r="AG113" i="5"/>
  <c r="AI113" i="5" s="1"/>
  <c r="AG387" i="5"/>
  <c r="AH387" i="5" s="1"/>
  <c r="AG363" i="5"/>
  <c r="AH363" i="5" s="1"/>
  <c r="AI84" i="5"/>
  <c r="AG560" i="5"/>
  <c r="AI560" i="5" s="1"/>
  <c r="AG476" i="5"/>
  <c r="AI476" i="5" s="1"/>
  <c r="AG434" i="5"/>
  <c r="AG202" i="5"/>
  <c r="AI202" i="5" s="1"/>
  <c r="AG300" i="5"/>
  <c r="AH300" i="5" s="1"/>
  <c r="AG214" i="5"/>
  <c r="AH214" i="5" s="1"/>
  <c r="AG194" i="5"/>
  <c r="AI194" i="5" s="1"/>
  <c r="AG146" i="5"/>
  <c r="AH146" i="5" s="1"/>
  <c r="AG58" i="5"/>
  <c r="AI58" i="5" s="1"/>
  <c r="AG454" i="5"/>
  <c r="AI454" i="5" s="1"/>
  <c r="AG460" i="5"/>
  <c r="AG402" i="5"/>
  <c r="AI402" i="5" s="1"/>
  <c r="AG262" i="5"/>
  <c r="AH262" i="5" s="1"/>
  <c r="AG356" i="5"/>
  <c r="AI356" i="5" s="1"/>
  <c r="AG314" i="5"/>
  <c r="AI314" i="5" s="1"/>
  <c r="AG118" i="5"/>
  <c r="AI118" i="5" s="1"/>
  <c r="AG69" i="5"/>
  <c r="AH69" i="5" s="1"/>
  <c r="AG365" i="5"/>
  <c r="AH365" i="5" s="1"/>
  <c r="AG302" i="5"/>
  <c r="AG493" i="5"/>
  <c r="AH493" i="5" s="1"/>
  <c r="AG333" i="5"/>
  <c r="AI333" i="5" s="1"/>
  <c r="AG330" i="5"/>
  <c r="AH330" i="5" s="1"/>
  <c r="AG238" i="5"/>
  <c r="AI238" i="5" s="1"/>
  <c r="AG157" i="5"/>
  <c r="AI157" i="5" s="1"/>
  <c r="AG109" i="5"/>
  <c r="AH109" i="5" s="1"/>
  <c r="AG20" i="5"/>
  <c r="AH20" i="5" s="1"/>
  <c r="AG540" i="5"/>
  <c r="AG517" i="5"/>
  <c r="AH517" i="5" s="1"/>
  <c r="AG405" i="5"/>
  <c r="AH405" i="5" s="1"/>
  <c r="AG406" i="5"/>
  <c r="AI406" i="5" s="1"/>
  <c r="AG318" i="5"/>
  <c r="AI318" i="5" s="1"/>
  <c r="AG332" i="5"/>
  <c r="AH332" i="5" s="1"/>
  <c r="AG212" i="5"/>
  <c r="AI212" i="5" s="1"/>
  <c r="AG101" i="5"/>
  <c r="AI101" i="5" s="1"/>
  <c r="AG523" i="5"/>
  <c r="AI523" i="5" s="1"/>
  <c r="AG380" i="5"/>
  <c r="AH380" i="5" s="1"/>
  <c r="AG510" i="5"/>
  <c r="AH510" i="5" s="1"/>
  <c r="AG436" i="5"/>
  <c r="AI436" i="5" s="1"/>
  <c r="AG281" i="5"/>
  <c r="AH281" i="5" s="1"/>
  <c r="AG324" i="5"/>
  <c r="AI324" i="5" s="1"/>
  <c r="AG218" i="5"/>
  <c r="AI218" i="5" s="1"/>
  <c r="AG130" i="5"/>
  <c r="AH130" i="5" s="1"/>
  <c r="AG66" i="5"/>
  <c r="AI66" i="5" s="1"/>
  <c r="AG533" i="5"/>
  <c r="AH533" i="5" s="1"/>
  <c r="AG495" i="5"/>
  <c r="AI495" i="5" s="1"/>
  <c r="AG351" i="5"/>
  <c r="AH351" i="5" s="1"/>
  <c r="AG255" i="5"/>
  <c r="AI255" i="5" s="1"/>
  <c r="AG159" i="5"/>
  <c r="AI159" i="5" s="1"/>
  <c r="AG47" i="5"/>
  <c r="AI47" i="5" s="1"/>
  <c r="AG464" i="5"/>
  <c r="AH464" i="5" s="1"/>
  <c r="AG360" i="5"/>
  <c r="AH360" i="5" s="1"/>
  <c r="AG240" i="5"/>
  <c r="AH240" i="5" s="1"/>
  <c r="AG312" i="5"/>
  <c r="AH312" i="5" s="1"/>
  <c r="AG184" i="5"/>
  <c r="AH184" i="5" s="1"/>
  <c r="AG56" i="5"/>
  <c r="AI56" i="5" s="1"/>
  <c r="AG8" i="5"/>
  <c r="AI8" i="5" s="1"/>
  <c r="AG441" i="5"/>
  <c r="AI441" i="5" s="1"/>
  <c r="AG409" i="5"/>
  <c r="AI409" i="5" s="1"/>
  <c r="AG483" i="5"/>
  <c r="AI483" i="5" s="1"/>
  <c r="AG503" i="5"/>
  <c r="AG538" i="5"/>
  <c r="AI538" i="5" s="1"/>
  <c r="AG440" i="5"/>
  <c r="AI440" i="5" s="1"/>
  <c r="AG320" i="5"/>
  <c r="AH320" i="5" s="1"/>
  <c r="AG408" i="5"/>
  <c r="AH408" i="5" s="1"/>
  <c r="AG288" i="5"/>
  <c r="AI288" i="5" s="1"/>
  <c r="AG200" i="5"/>
  <c r="AI200" i="5" s="1"/>
  <c r="AG185" i="5"/>
  <c r="AI185" i="5" s="1"/>
  <c r="AG105" i="5"/>
  <c r="AH105" i="5" s="1"/>
  <c r="AG161" i="5"/>
  <c r="AH161" i="5" s="1"/>
  <c r="AG292" i="5"/>
  <c r="AG478" i="5"/>
  <c r="AH478" i="5" s="1"/>
  <c r="AG63" i="5"/>
  <c r="AH63" i="5" s="1"/>
  <c r="AG242" i="5"/>
  <c r="AH242" i="5" s="1"/>
  <c r="AG317" i="5"/>
  <c r="AI317" i="5" s="1"/>
  <c r="AG243" i="5"/>
  <c r="AI243" i="5" s="1"/>
  <c r="AG27" i="5"/>
  <c r="AI27" i="5" s="1"/>
  <c r="AG73" i="5"/>
  <c r="AH73" i="5" s="1"/>
  <c r="AG203" i="5"/>
  <c r="AH203" i="5" s="1"/>
  <c r="AG518" i="5"/>
  <c r="AH518" i="5" s="1"/>
  <c r="AG61" i="5"/>
  <c r="AH61" i="5" s="1"/>
  <c r="AG265" i="5"/>
  <c r="AH265" i="5" s="1"/>
  <c r="AG373" i="5"/>
  <c r="AI373" i="5" s="1"/>
  <c r="AG33" i="5"/>
  <c r="AI33" i="5" s="1"/>
  <c r="AG225" i="5"/>
  <c r="AI225" i="5" s="1"/>
  <c r="AG385" i="5"/>
  <c r="AH385" i="5" s="1"/>
  <c r="AG511" i="5"/>
  <c r="AG247" i="5"/>
  <c r="AG391" i="5"/>
  <c r="AI391" i="5" s="1"/>
  <c r="AG537" i="5"/>
  <c r="AH537" i="5" s="1"/>
  <c r="AG207" i="5"/>
  <c r="AH207" i="5" s="1"/>
  <c r="AG433" i="5"/>
  <c r="AH433" i="5" s="1"/>
  <c r="AG532" i="5"/>
  <c r="AH532" i="5" s="1"/>
  <c r="AM540" i="5"/>
  <c r="AO540" i="5" s="1"/>
  <c r="AM189" i="5"/>
  <c r="AN189" i="5" s="1"/>
  <c r="AM498" i="5"/>
  <c r="AN498" i="5" s="1"/>
  <c r="AM482" i="5"/>
  <c r="AO482" i="5" s="1"/>
  <c r="AM508" i="5"/>
  <c r="AN508" i="5" s="1"/>
  <c r="AM105" i="5"/>
  <c r="AN105" i="5" s="1"/>
  <c r="AH479" i="5"/>
  <c r="AM135" i="5"/>
  <c r="AO135" i="5" s="1"/>
  <c r="AJ283" i="5"/>
  <c r="AK283" i="5" s="1"/>
  <c r="AM115" i="5"/>
  <c r="AO115" i="5" s="1"/>
  <c r="AM41" i="5"/>
  <c r="AN41" i="5" s="1"/>
  <c r="AM436" i="5"/>
  <c r="AN436" i="5" s="1"/>
  <c r="AM362" i="5"/>
  <c r="AO362" i="5" s="1"/>
  <c r="AM69" i="5"/>
  <c r="AN69" i="5" s="1"/>
  <c r="AM365" i="5"/>
  <c r="AN365" i="5" s="1"/>
  <c r="AM348" i="5"/>
  <c r="AO348" i="5" s="1"/>
  <c r="AM234" i="5"/>
  <c r="AN234" i="5" s="1"/>
  <c r="AG303" i="5"/>
  <c r="AH303" i="5" s="1"/>
  <c r="AG334" i="5"/>
  <c r="AI334" i="5" s="1"/>
  <c r="AG482" i="5"/>
  <c r="AI482" i="5" s="1"/>
  <c r="AG49" i="5"/>
  <c r="AH49" i="5" s="1"/>
  <c r="AG123" i="5"/>
  <c r="AI123" i="5" s="1"/>
  <c r="AG249" i="5"/>
  <c r="AH249" i="5" s="1"/>
  <c r="AG366" i="5"/>
  <c r="AI366" i="5" s="1"/>
  <c r="AG508" i="5"/>
  <c r="AH508" i="5" s="1"/>
  <c r="AG395" i="5"/>
  <c r="AI395" i="5" s="1"/>
  <c r="AG275" i="5"/>
  <c r="AH275" i="5" s="1"/>
  <c r="AG195" i="5"/>
  <c r="AG75" i="5"/>
  <c r="AH75" i="5" s="1"/>
  <c r="AG107" i="5"/>
  <c r="AI107" i="5" s="1"/>
  <c r="AG198" i="5"/>
  <c r="AH198" i="5" s="1"/>
  <c r="AG311" i="5"/>
  <c r="AG339" i="5"/>
  <c r="AI339" i="5" s="1"/>
  <c r="AG514" i="5"/>
  <c r="AG116" i="5"/>
  <c r="AH116" i="5" s="1"/>
  <c r="AG156" i="5"/>
  <c r="AI156" i="5" s="1"/>
  <c r="AG213" i="5"/>
  <c r="AH213" i="5" s="1"/>
  <c r="AG343" i="5"/>
  <c r="AI343" i="5" s="1"/>
  <c r="AG445" i="5"/>
  <c r="AH445" i="5" s="1"/>
  <c r="AG465" i="5"/>
  <c r="AI465" i="5" s="1"/>
  <c r="AG86" i="5"/>
  <c r="AH86" i="5" s="1"/>
  <c r="AG155" i="5"/>
  <c r="AH155" i="5" s="1"/>
  <c r="AG266" i="5"/>
  <c r="AI266" i="5" s="1"/>
  <c r="AG367" i="5"/>
  <c r="AG453" i="5"/>
  <c r="AH453" i="5" s="1"/>
  <c r="AG46" i="5"/>
  <c r="AI46" i="5" s="1"/>
  <c r="AG122" i="5"/>
  <c r="AI122" i="5" s="1"/>
  <c r="AG230" i="5"/>
  <c r="AG174" i="5"/>
  <c r="AH174" i="5" s="1"/>
  <c r="AG481" i="5"/>
  <c r="AG555" i="5"/>
  <c r="AI555" i="5" s="1"/>
  <c r="AG74" i="5"/>
  <c r="AG172" i="5"/>
  <c r="AH172" i="5" s="1"/>
  <c r="AG282" i="5"/>
  <c r="AG393" i="5"/>
  <c r="AI393" i="5" s="1"/>
  <c r="AG471" i="5"/>
  <c r="B33" i="2"/>
  <c r="B31" i="2"/>
  <c r="T308" i="5"/>
  <c r="T51" i="5"/>
  <c r="T75" i="5"/>
  <c r="T31" i="5"/>
  <c r="V31" i="5" s="1"/>
  <c r="T73" i="5"/>
  <c r="AJ187" i="5"/>
  <c r="AK187" i="5" s="1"/>
  <c r="AJ521" i="5"/>
  <c r="AK521" i="5" s="1"/>
  <c r="AJ307" i="5"/>
  <c r="AL307" i="5" s="1"/>
  <c r="AM549" i="5"/>
  <c r="AN549" i="5" s="1"/>
  <c r="AM409" i="5"/>
  <c r="AN409" i="5" s="1"/>
  <c r="AM113" i="5"/>
  <c r="AN113" i="5" s="1"/>
  <c r="AM347" i="5"/>
  <c r="AO347" i="5" s="1"/>
  <c r="AM500" i="5"/>
  <c r="AN500" i="5" s="1"/>
  <c r="AM485" i="5"/>
  <c r="AO485" i="5" s="1"/>
  <c r="AM334" i="5"/>
  <c r="AO334" i="5" s="1"/>
  <c r="AM238" i="5"/>
  <c r="AN238" i="5" s="1"/>
  <c r="AM29" i="5"/>
  <c r="AO29" i="5" s="1"/>
  <c r="AM426" i="5"/>
  <c r="AN426" i="5" s="1"/>
  <c r="AM322" i="5"/>
  <c r="AN322" i="5" s="1"/>
  <c r="AM53" i="5"/>
  <c r="AN53" i="5" s="1"/>
  <c r="AM454" i="5"/>
  <c r="AN454" i="5" s="1"/>
  <c r="AM286" i="5"/>
  <c r="AO286" i="5" s="1"/>
  <c r="AM186" i="5"/>
  <c r="AN186" i="5" s="1"/>
  <c r="AM62" i="5"/>
  <c r="AO62" i="5" s="1"/>
  <c r="AM493" i="5"/>
  <c r="AN493" i="5" s="1"/>
  <c r="AM222" i="5"/>
  <c r="AO222" i="5" s="1"/>
  <c r="AM492" i="5"/>
  <c r="AO492" i="5" s="1"/>
  <c r="AM326" i="5"/>
  <c r="AN326" i="5" s="1"/>
  <c r="AM68" i="5"/>
  <c r="AO68" i="5" s="1"/>
  <c r="AM487" i="5"/>
  <c r="AO487" i="5" s="1"/>
  <c r="AM496" i="5"/>
  <c r="AN496" i="5" s="1"/>
  <c r="AH377" i="5"/>
  <c r="AM263" i="5"/>
  <c r="AN263" i="5" s="1"/>
  <c r="AM554" i="5"/>
  <c r="AO554" i="5" s="1"/>
  <c r="AM243" i="5"/>
  <c r="AN243" i="5" s="1"/>
  <c r="AM388" i="5"/>
  <c r="AO388" i="5" s="1"/>
  <c r="AM520" i="5"/>
  <c r="AN520" i="5" s="1"/>
  <c r="AM346" i="5"/>
  <c r="AO346" i="5" s="1"/>
  <c r="AM173" i="5"/>
  <c r="AO173" i="5" s="1"/>
  <c r="AM550" i="5"/>
  <c r="AN550" i="5" s="1"/>
  <c r="AM458" i="5"/>
  <c r="AO458" i="5" s="1"/>
  <c r="AM298" i="5"/>
  <c r="AO298" i="5" s="1"/>
  <c r="AM38" i="5"/>
  <c r="AN38" i="5" s="1"/>
  <c r="AM484" i="5"/>
  <c r="AN484" i="5" s="1"/>
  <c r="AM389" i="5"/>
  <c r="AO389" i="5" s="1"/>
  <c r="AM204" i="5"/>
  <c r="AN204" i="5" s="1"/>
  <c r="AM28" i="5"/>
  <c r="AN28" i="5" s="1"/>
  <c r="AM397" i="5"/>
  <c r="AO397" i="5" s="1"/>
  <c r="AM141" i="5"/>
  <c r="AN141" i="5" s="1"/>
  <c r="AM394" i="5"/>
  <c r="AN394" i="5" s="1"/>
  <c r="AM161" i="5"/>
  <c r="AN161" i="5" s="1"/>
  <c r="AM431" i="5"/>
  <c r="AO431" i="5" s="1"/>
  <c r="AM495" i="5"/>
  <c r="AO495" i="5" s="1"/>
  <c r="AM359" i="5"/>
  <c r="AN359" i="5" s="1"/>
  <c r="AM546" i="5"/>
  <c r="AO546" i="5" s="1"/>
  <c r="AM24" i="5"/>
  <c r="AN24" i="5" s="1"/>
  <c r="AM457" i="5"/>
  <c r="AN457" i="5" s="1"/>
  <c r="AM129" i="5"/>
  <c r="AO129" i="5" s="1"/>
  <c r="AM211" i="5"/>
  <c r="AO211" i="5" s="1"/>
  <c r="AM410" i="5"/>
  <c r="AN410" i="5" s="1"/>
  <c r="AM270" i="5"/>
  <c r="AN270" i="5" s="1"/>
  <c r="AM430" i="5"/>
  <c r="AO430" i="5" s="1"/>
  <c r="AM58" i="5"/>
  <c r="AN58" i="5" s="1"/>
  <c r="AM198" i="5"/>
  <c r="AO198" i="5" s="1"/>
  <c r="AM31" i="5"/>
  <c r="AO31" i="5" s="1"/>
  <c r="AM72" i="5"/>
  <c r="AO72" i="5" s="1"/>
  <c r="AM289" i="5"/>
  <c r="AN289" i="5" s="1"/>
  <c r="AM155" i="5"/>
  <c r="AN155" i="5" s="1"/>
  <c r="AM83" i="5"/>
  <c r="AO83" i="5" s="1"/>
  <c r="AM299" i="5"/>
  <c r="AN299" i="5" s="1"/>
  <c r="AM396" i="5"/>
  <c r="AO396" i="5" s="1"/>
  <c r="AM434" i="5"/>
  <c r="AN434" i="5" s="1"/>
  <c r="AM306" i="5"/>
  <c r="AN306" i="5" s="1"/>
  <c r="AM122" i="5"/>
  <c r="AN122" i="5" s="1"/>
  <c r="AM437" i="5"/>
  <c r="AO437" i="5" s="1"/>
  <c r="AM354" i="5"/>
  <c r="AO354" i="5" s="1"/>
  <c r="AM282" i="5"/>
  <c r="AN282" i="5" s="1"/>
  <c r="AM26" i="5"/>
  <c r="AN26" i="5" s="1"/>
  <c r="AM462" i="5"/>
  <c r="AO462" i="5" s="1"/>
  <c r="AM293" i="5"/>
  <c r="AN293" i="5" s="1"/>
  <c r="AM205" i="5"/>
  <c r="AO205" i="5" s="1"/>
  <c r="AM42" i="5"/>
  <c r="AN42" i="5" s="1"/>
  <c r="AM374" i="5"/>
  <c r="AN374" i="5" s="1"/>
  <c r="AM149" i="5"/>
  <c r="AN149" i="5" s="1"/>
  <c r="AM422" i="5"/>
  <c r="AN422" i="5" s="1"/>
  <c r="AM194" i="5"/>
  <c r="AO194" i="5" s="1"/>
  <c r="AM311" i="5"/>
  <c r="AO311" i="5" s="1"/>
  <c r="AM175" i="5"/>
  <c r="AN175" i="5" s="1"/>
  <c r="AM32" i="5"/>
  <c r="AN32" i="5" s="1"/>
  <c r="AM465" i="5"/>
  <c r="AN465" i="5" s="1"/>
  <c r="AM145" i="5"/>
  <c r="AN145" i="5" s="1"/>
  <c r="AM324" i="5"/>
  <c r="AO324" i="5" s="1"/>
  <c r="AM556" i="5"/>
  <c r="AO556" i="5" s="1"/>
  <c r="AM438" i="5"/>
  <c r="AO438" i="5" s="1"/>
  <c r="AM61" i="5"/>
  <c r="AO61" i="5" s="1"/>
  <c r="AM418" i="5"/>
  <c r="AN418" i="5" s="1"/>
  <c r="AM514" i="5"/>
  <c r="AO514" i="5" s="1"/>
  <c r="AM157" i="5"/>
  <c r="AO157" i="5" s="1"/>
  <c r="AM423" i="5"/>
  <c r="AO423" i="5" s="1"/>
  <c r="AM128" i="5"/>
  <c r="AN128" i="5" s="1"/>
  <c r="AM225" i="5"/>
  <c r="AN225" i="5" s="1"/>
  <c r="AM369" i="5"/>
  <c r="AO369" i="5" s="1"/>
  <c r="AM450" i="5"/>
  <c r="AN450" i="5" s="1"/>
  <c r="AM506" i="5"/>
  <c r="AN506" i="5" s="1"/>
  <c r="AM262" i="5"/>
  <c r="AO262" i="5" s="1"/>
  <c r="AM109" i="5"/>
  <c r="AN109" i="5" s="1"/>
  <c r="AM536" i="5"/>
  <c r="AN536" i="5" s="1"/>
  <c r="AM349" i="5"/>
  <c r="AN349" i="5" s="1"/>
  <c r="AM261" i="5"/>
  <c r="AO261" i="5" s="1"/>
  <c r="AM372" i="5"/>
  <c r="AN372" i="5" s="1"/>
  <c r="AM412" i="5"/>
  <c r="AO412" i="5" s="1"/>
  <c r="AM404" i="5"/>
  <c r="AN404" i="5" s="1"/>
  <c r="AM162" i="5"/>
  <c r="AO162" i="5" s="1"/>
  <c r="AM552" i="5"/>
  <c r="AN552" i="5" s="1"/>
  <c r="AM413" i="5"/>
  <c r="AN413" i="5" s="1"/>
  <c r="AM85" i="5"/>
  <c r="AN85" i="5" s="1"/>
  <c r="AM340" i="5"/>
  <c r="AN340" i="5" s="1"/>
  <c r="AM197" i="5"/>
  <c r="AN197" i="5" s="1"/>
  <c r="AM447" i="5"/>
  <c r="AN447" i="5" s="1"/>
  <c r="AM383" i="5"/>
  <c r="AO383" i="5" s="1"/>
  <c r="AM360" i="5"/>
  <c r="AN360" i="5" s="1"/>
  <c r="AM48" i="5"/>
  <c r="AO48" i="5" s="1"/>
  <c r="AM435" i="5"/>
  <c r="AO435" i="5" s="1"/>
  <c r="AM130" i="5"/>
  <c r="AN130" i="5" s="1"/>
  <c r="AM302" i="5"/>
  <c r="AN302" i="5" s="1"/>
  <c r="AM228" i="5"/>
  <c r="AN228" i="5" s="1"/>
  <c r="AM444" i="5"/>
  <c r="AO444" i="5" s="1"/>
  <c r="AM136" i="5"/>
  <c r="AO136" i="5" s="1"/>
  <c r="AM185" i="5"/>
  <c r="AN185" i="5" s="1"/>
  <c r="AM131" i="5"/>
  <c r="AN131" i="5" s="1"/>
  <c r="AM195" i="5"/>
  <c r="AO195" i="5" s="1"/>
  <c r="AM281" i="5"/>
  <c r="AN281" i="5" s="1"/>
  <c r="AM169" i="5"/>
  <c r="AO169" i="5" s="1"/>
  <c r="AJ539" i="5"/>
  <c r="AL539" i="5" s="1"/>
  <c r="AM209" i="5"/>
  <c r="AN209" i="5" s="1"/>
  <c r="AM551" i="5"/>
  <c r="AN551" i="5" s="1"/>
  <c r="AM325" i="5"/>
  <c r="AN325" i="5" s="1"/>
  <c r="AM318" i="5"/>
  <c r="AO318" i="5" s="1"/>
  <c r="AM98" i="5"/>
  <c r="AO98" i="5" s="1"/>
  <c r="AM518" i="5"/>
  <c r="AN518" i="5" s="1"/>
  <c r="AM390" i="5"/>
  <c r="AN390" i="5" s="1"/>
  <c r="AM210" i="5"/>
  <c r="AN210" i="5" s="1"/>
  <c r="AM528" i="5"/>
  <c r="AN528" i="5" s="1"/>
  <c r="AM532" i="5"/>
  <c r="AO532" i="5" s="1"/>
  <c r="AM301" i="5"/>
  <c r="AN301" i="5" s="1"/>
  <c r="AM142" i="5"/>
  <c r="AN142" i="5" s="1"/>
  <c r="AM543" i="5"/>
  <c r="AO543" i="5" s="1"/>
  <c r="AM338" i="5"/>
  <c r="AN338" i="5" s="1"/>
  <c r="AM82" i="5"/>
  <c r="AO82" i="5" s="1"/>
  <c r="AM356" i="5"/>
  <c r="AN356" i="5" s="1"/>
  <c r="AM116" i="5"/>
  <c r="AN116" i="5" s="1"/>
  <c r="AM87" i="5"/>
  <c r="AN87" i="5" s="1"/>
  <c r="AM176" i="5"/>
  <c r="AO176" i="5" s="1"/>
  <c r="AM118" i="5"/>
  <c r="AO118" i="5" s="1"/>
  <c r="AM510" i="5"/>
  <c r="AO510" i="5" s="1"/>
  <c r="AM490" i="5"/>
  <c r="AN490" i="5" s="1"/>
  <c r="AM294" i="5"/>
  <c r="AO294" i="5" s="1"/>
  <c r="AM106" i="5"/>
  <c r="AN106" i="5" s="1"/>
  <c r="AM560" i="5"/>
  <c r="AN560" i="5" s="1"/>
  <c r="AM206" i="5"/>
  <c r="AN206" i="5" s="1"/>
  <c r="AM481" i="5"/>
  <c r="AN481" i="5" s="1"/>
  <c r="AM358" i="5"/>
  <c r="AN358" i="5" s="1"/>
  <c r="AM110" i="5"/>
  <c r="AO110" i="5" s="1"/>
  <c r="AM223" i="5"/>
  <c r="AN223" i="5" s="1"/>
  <c r="AM127" i="5"/>
  <c r="AO127" i="5" s="1"/>
  <c r="AM267" i="5"/>
  <c r="AO267" i="5" s="1"/>
  <c r="AM421" i="5"/>
  <c r="AN421" i="5" s="1"/>
  <c r="AM341" i="5"/>
  <c r="AO341" i="5" s="1"/>
  <c r="AM174" i="5"/>
  <c r="AO174" i="5" s="1"/>
  <c r="AM45" i="5"/>
  <c r="AN45" i="5" s="1"/>
  <c r="AM474" i="5"/>
  <c r="AN474" i="5" s="1"/>
  <c r="AM252" i="5"/>
  <c r="AN252" i="5" s="1"/>
  <c r="AM274" i="5"/>
  <c r="AN274" i="5" s="1"/>
  <c r="AM132" i="5"/>
  <c r="AN132" i="5" s="1"/>
  <c r="AM79" i="5"/>
  <c r="AN79" i="5" s="1"/>
  <c r="AM533" i="5"/>
  <c r="AN533" i="5" s="1"/>
  <c r="AM455" i="5"/>
  <c r="AN455" i="5" s="1"/>
  <c r="AM367" i="5"/>
  <c r="AN367" i="5" s="1"/>
  <c r="AM239" i="5"/>
  <c r="AN239" i="5" s="1"/>
  <c r="AM219" i="5"/>
  <c r="AN219" i="5" s="1"/>
  <c r="T167" i="5"/>
  <c r="U167" i="5" s="1"/>
  <c r="AM71" i="5"/>
  <c r="AO71" i="5" s="1"/>
  <c r="T153" i="5"/>
  <c r="V153" i="5" s="1"/>
  <c r="T122" i="5"/>
  <c r="U122" i="5" s="1"/>
  <c r="AM328" i="5"/>
  <c r="AO328" i="5" s="1"/>
  <c r="AM224" i="5"/>
  <c r="AO224" i="5" s="1"/>
  <c r="AM56" i="5"/>
  <c r="AN56" i="5" s="1"/>
  <c r="AM385" i="5"/>
  <c r="AO385" i="5" s="1"/>
  <c r="AM331" i="5"/>
  <c r="AM260" i="5"/>
  <c r="AN260" i="5" s="1"/>
  <c r="AM415" i="5"/>
  <c r="AM547" i="5"/>
  <c r="AN547" i="5" s="1"/>
  <c r="AM446" i="5"/>
  <c r="AO446" i="5" s="1"/>
  <c r="AM420" i="5"/>
  <c r="AO420" i="5" s="1"/>
  <c r="AM220" i="5"/>
  <c r="AO220" i="5" s="1"/>
  <c r="AM81" i="5"/>
  <c r="AO81" i="5" s="1"/>
  <c r="AM463" i="5"/>
  <c r="AN463" i="5" s="1"/>
  <c r="AM419" i="5"/>
  <c r="AN419" i="5" s="1"/>
  <c r="AM167" i="5"/>
  <c r="AN167" i="5" s="1"/>
  <c r="AM23" i="5"/>
  <c r="AO23" i="5" s="1"/>
  <c r="T198" i="5"/>
  <c r="T58" i="5"/>
  <c r="V58" i="5" s="1"/>
  <c r="AM232" i="5"/>
  <c r="AO232" i="5" s="1"/>
  <c r="AM296" i="5"/>
  <c r="AN296" i="5" s="1"/>
  <c r="AM168" i="5"/>
  <c r="AN168" i="5" s="1"/>
  <c r="AM8" i="5"/>
  <c r="AO8" i="5" s="1"/>
  <c r="AM276" i="5"/>
  <c r="AO276" i="5" s="1"/>
  <c r="AM39" i="5"/>
  <c r="AO39" i="5" s="1"/>
  <c r="AJ371" i="5"/>
  <c r="AK371" i="5" s="1"/>
  <c r="O12" i="5"/>
  <c r="Q12" i="5" s="1"/>
  <c r="AM477" i="5"/>
  <c r="AN477" i="5" s="1"/>
  <c r="AM314" i="5"/>
  <c r="AN314" i="5" s="1"/>
  <c r="AM125" i="5"/>
  <c r="AN125" i="5" s="1"/>
  <c r="AM505" i="5"/>
  <c r="AN505" i="5" s="1"/>
  <c r="AM406" i="5"/>
  <c r="AO406" i="5" s="1"/>
  <c r="AM249" i="5"/>
  <c r="AO249" i="5" s="1"/>
  <c r="AM221" i="5"/>
  <c r="AO221" i="5" s="1"/>
  <c r="AM70" i="5"/>
  <c r="AO70" i="5" s="1"/>
  <c r="AM537" i="5"/>
  <c r="AN537" i="5" s="1"/>
  <c r="AM335" i="5"/>
  <c r="AN335" i="5" s="1"/>
  <c r="AM287" i="5"/>
  <c r="AO287" i="5" s="1"/>
  <c r="AM199" i="5"/>
  <c r="AO199" i="5" s="1"/>
  <c r="AM47" i="5"/>
  <c r="AO47" i="5" s="1"/>
  <c r="AM103" i="5"/>
  <c r="AO103" i="5" s="1"/>
  <c r="T218" i="5"/>
  <c r="AM538" i="5"/>
  <c r="AO538" i="5" s="1"/>
  <c r="T184" i="5"/>
  <c r="AM40" i="5"/>
  <c r="AO40" i="5" s="1"/>
  <c r="AM88" i="5"/>
  <c r="AN88" i="5" s="1"/>
  <c r="AM137" i="5"/>
  <c r="AO137" i="5" s="1"/>
  <c r="AM451" i="5"/>
  <c r="AM259" i="5"/>
  <c r="AO259" i="5" s="1"/>
  <c r="AJ379" i="5"/>
  <c r="AK379" i="5" s="1"/>
  <c r="AM442" i="5"/>
  <c r="AO442" i="5" s="1"/>
  <c r="AM178" i="5"/>
  <c r="AO178" i="5" s="1"/>
  <c r="AM114" i="5"/>
  <c r="AN114" i="5" s="1"/>
  <c r="AM473" i="5"/>
  <c r="AN473" i="5" s="1"/>
  <c r="AM380" i="5"/>
  <c r="AN380" i="5" s="1"/>
  <c r="AM278" i="5"/>
  <c r="AN278" i="5" s="1"/>
  <c r="AM172" i="5"/>
  <c r="AO172" i="5" s="1"/>
  <c r="AM50" i="5"/>
  <c r="AO50" i="5" s="1"/>
  <c r="AM231" i="5"/>
  <c r="AO231" i="5" s="1"/>
  <c r="T219" i="5"/>
  <c r="U219" i="5" s="1"/>
  <c r="AM207" i="5"/>
  <c r="AO207" i="5" s="1"/>
  <c r="T111" i="5"/>
  <c r="V111" i="5" s="1"/>
  <c r="T42" i="5"/>
  <c r="V42" i="5" s="1"/>
  <c r="AM526" i="5"/>
  <c r="AN526" i="5" s="1"/>
  <c r="AM392" i="5"/>
  <c r="AO392" i="5" s="1"/>
  <c r="AM264" i="5"/>
  <c r="AN264" i="5" s="1"/>
  <c r="AM192" i="5"/>
  <c r="AN192" i="5" s="1"/>
  <c r="AM555" i="5"/>
  <c r="AN555" i="5" s="1"/>
  <c r="AM97" i="5"/>
  <c r="AN97" i="5" s="1"/>
  <c r="AM283" i="5"/>
  <c r="AN283" i="5" s="1"/>
  <c r="AM159" i="5"/>
  <c r="AO159" i="5" s="1"/>
  <c r="T23" i="5"/>
  <c r="U23" i="5" s="1"/>
  <c r="T71" i="5"/>
  <c r="U71" i="5" s="1"/>
  <c r="AM111" i="5"/>
  <c r="AO111" i="5" s="1"/>
  <c r="T193" i="5"/>
  <c r="AM534" i="5"/>
  <c r="AN534" i="5" s="1"/>
  <c r="AM152" i="5"/>
  <c r="AO152" i="5" s="1"/>
  <c r="AM112" i="5"/>
  <c r="AO112" i="5" s="1"/>
  <c r="AM139" i="5"/>
  <c r="AN139" i="5" s="1"/>
  <c r="AM539" i="5"/>
  <c r="AM497" i="5"/>
  <c r="AN497" i="5" s="1"/>
  <c r="AM233" i="5"/>
  <c r="AO233" i="5" s="1"/>
  <c r="AM25" i="5"/>
  <c r="AO25" i="5" s="1"/>
  <c r="AM557" i="5"/>
  <c r="AO557" i="5" s="1"/>
  <c r="AM467" i="5"/>
  <c r="AO467" i="5" s="1"/>
  <c r="AM355" i="5"/>
  <c r="AO355" i="5" s="1"/>
  <c r="AM147" i="5"/>
  <c r="AN147" i="5" s="1"/>
  <c r="AM284" i="5"/>
  <c r="AO284" i="5" s="1"/>
  <c r="AM92" i="5"/>
  <c r="AO92" i="5" s="1"/>
  <c r="AM416" i="5"/>
  <c r="AN416" i="5" s="1"/>
  <c r="AM432" i="5"/>
  <c r="AN432" i="5" s="1"/>
  <c r="AM512" i="5"/>
  <c r="AN512" i="5" s="1"/>
  <c r="AM240" i="5"/>
  <c r="AO240" i="5" s="1"/>
  <c r="AM96" i="5"/>
  <c r="AO96" i="5" s="1"/>
  <c r="AM265" i="5"/>
  <c r="AO265" i="5" s="1"/>
  <c r="AM33" i="5"/>
  <c r="AO33" i="5" s="1"/>
  <c r="AM521" i="5"/>
  <c r="AN521" i="5" s="1"/>
  <c r="AM475" i="5"/>
  <c r="AO475" i="5" s="1"/>
  <c r="AM363" i="5"/>
  <c r="AO363" i="5" s="1"/>
  <c r="AM171" i="5"/>
  <c r="AM140" i="5"/>
  <c r="AO140" i="5" s="1"/>
  <c r="AM108" i="5"/>
  <c r="AM89" i="5"/>
  <c r="AN89" i="5" s="1"/>
  <c r="AJ51" i="5"/>
  <c r="AL51" i="5" s="1"/>
  <c r="AJ105" i="5"/>
  <c r="AL105" i="5" s="1"/>
  <c r="AM320" i="5"/>
  <c r="AN320" i="5" s="1"/>
  <c r="AM384" i="5"/>
  <c r="AO384" i="5" s="1"/>
  <c r="AM256" i="5"/>
  <c r="AN256" i="5" s="1"/>
  <c r="AM304" i="5"/>
  <c r="AN304" i="5" s="1"/>
  <c r="AM160" i="5"/>
  <c r="AN160" i="5" s="1"/>
  <c r="AM200" i="5"/>
  <c r="AO200" i="5" s="1"/>
  <c r="AM527" i="5"/>
  <c r="AN527" i="5" s="1"/>
  <c r="AM273" i="5"/>
  <c r="AO273" i="5" s="1"/>
  <c r="AM49" i="5"/>
  <c r="AN49" i="5" s="1"/>
  <c r="AM371" i="5"/>
  <c r="AN371" i="5" s="1"/>
  <c r="AM27" i="5"/>
  <c r="AO27" i="5" s="1"/>
  <c r="AM156" i="5"/>
  <c r="AN156" i="5" s="1"/>
  <c r="AM305" i="5"/>
  <c r="AN305" i="5" s="1"/>
  <c r="AM65" i="5"/>
  <c r="AO65" i="5" s="1"/>
  <c r="AM491" i="5"/>
  <c r="AN491" i="5" s="1"/>
  <c r="AM43" i="5"/>
  <c r="AO43" i="5" s="1"/>
  <c r="AM164" i="5"/>
  <c r="AO164" i="5" s="1"/>
  <c r="AM179" i="5"/>
  <c r="AO179" i="5" s="1"/>
  <c r="AJ273" i="5"/>
  <c r="AK273" i="5" s="1"/>
  <c r="AM312" i="5"/>
  <c r="AO312" i="5" s="1"/>
  <c r="AM433" i="5"/>
  <c r="AN433" i="5" s="1"/>
  <c r="AM313" i="5"/>
  <c r="AM73" i="5"/>
  <c r="AM427" i="5"/>
  <c r="AM499" i="5"/>
  <c r="AM51" i="5"/>
  <c r="AM212" i="5"/>
  <c r="AN212" i="5" s="1"/>
  <c r="AM343" i="5"/>
  <c r="AN343" i="5" s="1"/>
  <c r="AG43" i="5"/>
  <c r="AG191" i="5"/>
  <c r="AG431" i="5"/>
  <c r="AG329" i="5"/>
  <c r="AG263" i="5"/>
  <c r="AG331" i="5"/>
  <c r="AG342" i="5"/>
  <c r="AG541" i="5"/>
  <c r="AG150" i="5"/>
  <c r="AG95" i="5"/>
  <c r="AG241" i="5"/>
  <c r="AG399" i="5"/>
  <c r="AG52" i="5"/>
  <c r="AG388" i="5"/>
  <c r="AG430" i="5"/>
  <c r="AG325" i="5"/>
  <c r="AG543" i="5"/>
  <c r="AG53" i="5"/>
  <c r="AG369" i="5"/>
  <c r="B29" i="2"/>
  <c r="B25" i="2"/>
  <c r="B27" i="2"/>
  <c r="B23" i="2"/>
  <c r="B20" i="2"/>
  <c r="T90" i="5"/>
  <c r="T168" i="5"/>
  <c r="V168" i="5" s="1"/>
  <c r="T132" i="5"/>
  <c r="U132" i="5" s="1"/>
  <c r="T165" i="5"/>
  <c r="T189" i="5"/>
  <c r="AJ225" i="5"/>
  <c r="AK225" i="5" s="1"/>
  <c r="T143" i="5"/>
  <c r="V143" i="5" s="1"/>
  <c r="T103" i="5"/>
  <c r="U103" i="5" s="1"/>
  <c r="T217" i="5"/>
  <c r="T110" i="5"/>
  <c r="T277" i="5"/>
  <c r="V277" i="5" s="1"/>
  <c r="T124" i="5"/>
  <c r="T46" i="5"/>
  <c r="U46" i="5" s="1"/>
  <c r="T158" i="5"/>
  <c r="V158" i="5" s="1"/>
  <c r="T102" i="5"/>
  <c r="U102" i="5" s="1"/>
  <c r="T240" i="5"/>
  <c r="T200" i="5"/>
  <c r="V200" i="5" s="1"/>
  <c r="T255" i="5"/>
  <c r="T220" i="5"/>
  <c r="U220" i="5" s="1"/>
  <c r="T97" i="5"/>
  <c r="U97" i="5" s="1"/>
  <c r="T213" i="5"/>
  <c r="U213" i="5" s="1"/>
  <c r="T108" i="5"/>
  <c r="U108" i="5" s="1"/>
  <c r="B43" i="5"/>
  <c r="T163" i="5"/>
  <c r="T81" i="5"/>
  <c r="V81" i="5" s="1"/>
  <c r="T128" i="5"/>
  <c r="T48" i="5"/>
  <c r="U48" i="5" s="1"/>
  <c r="T99" i="5"/>
  <c r="U99" i="5" s="1"/>
  <c r="T127" i="5"/>
  <c r="T202" i="5"/>
  <c r="V202" i="5" s="1"/>
  <c r="T78" i="5"/>
  <c r="V78" i="5" s="1"/>
  <c r="T157" i="5"/>
  <c r="T60" i="5"/>
  <c r="U60" i="5" s="1"/>
  <c r="T238" i="5"/>
  <c r="U238" i="5" s="1"/>
  <c r="T178" i="5"/>
  <c r="V178" i="5" s="1"/>
  <c r="T77" i="5"/>
  <c r="V77" i="5" s="1"/>
  <c r="T144" i="5"/>
  <c r="T216" i="5"/>
  <c r="U216" i="5" s="1"/>
  <c r="T96" i="5"/>
  <c r="V96" i="5" s="1"/>
  <c r="T147" i="5"/>
  <c r="U147" i="5" s="1"/>
  <c r="AJ227" i="5"/>
  <c r="AK227" i="5" s="1"/>
  <c r="T179" i="5"/>
  <c r="T49" i="5"/>
  <c r="V49" i="5" s="1"/>
  <c r="T197" i="5"/>
  <c r="U197" i="5" s="1"/>
  <c r="T68" i="5"/>
  <c r="T234" i="5"/>
  <c r="U234" i="5" s="1"/>
  <c r="T148" i="5"/>
  <c r="V148" i="5" s="1"/>
  <c r="T54" i="5"/>
  <c r="U54" i="5" s="1"/>
  <c r="AM163" i="5"/>
  <c r="AO163" i="5" s="1"/>
  <c r="AM488" i="5"/>
  <c r="AN488" i="5" s="1"/>
  <c r="T278" i="5"/>
  <c r="U278" i="5" s="1"/>
  <c r="T145" i="5"/>
  <c r="U145" i="5" s="1"/>
  <c r="T45" i="5"/>
  <c r="V45" i="5" s="1"/>
  <c r="T182" i="5"/>
  <c r="U182" i="5" s="1"/>
  <c r="T62" i="5"/>
  <c r="T209" i="5"/>
  <c r="V209" i="5" s="1"/>
  <c r="T116" i="5"/>
  <c r="V116" i="5" s="1"/>
  <c r="T29" i="5"/>
  <c r="T104" i="5"/>
  <c r="U104" i="5" s="1"/>
  <c r="T534" i="5"/>
  <c r="U534" i="5" s="1"/>
  <c r="T136" i="5"/>
  <c r="U136" i="5" s="1"/>
  <c r="T175" i="5"/>
  <c r="T257" i="5"/>
  <c r="V257" i="5" s="1"/>
  <c r="T129" i="5"/>
  <c r="V129" i="5" s="1"/>
  <c r="T21" i="5"/>
  <c r="U21" i="5" s="1"/>
  <c r="T86" i="5"/>
  <c r="V86" i="5" s="1"/>
  <c r="T20" i="5"/>
  <c r="T164" i="5"/>
  <c r="V164" i="5" s="1"/>
  <c r="T113" i="5"/>
  <c r="U113" i="5" s="1"/>
  <c r="T120" i="5"/>
  <c r="T40" i="5"/>
  <c r="V40" i="5" s="1"/>
  <c r="T72" i="5"/>
  <c r="AM504" i="5"/>
  <c r="AN504" i="5" s="1"/>
  <c r="B59" i="2"/>
  <c r="K26" i="2"/>
  <c r="B67" i="2"/>
  <c r="M26" i="2"/>
  <c r="B63" i="2"/>
  <c r="L26" i="2"/>
  <c r="AH509" i="5"/>
  <c r="AI509" i="5"/>
  <c r="AJ43" i="5"/>
  <c r="AK43" i="5" s="1"/>
  <c r="AJ147" i="5"/>
  <c r="AK147" i="5" s="1"/>
  <c r="B43" i="2"/>
  <c r="K35" i="2"/>
  <c r="AJ153" i="5"/>
  <c r="AL153" i="5" s="1"/>
  <c r="AJ169" i="5"/>
  <c r="AL169" i="5" s="1"/>
  <c r="AM64" i="5"/>
  <c r="AO64" i="5" s="1"/>
  <c r="L35" i="2"/>
  <c r="AM80" i="5"/>
  <c r="AN80" i="5" s="1"/>
  <c r="AH289" i="5"/>
  <c r="AJ483" i="5"/>
  <c r="AL483" i="5" s="1"/>
  <c r="AM472" i="5"/>
  <c r="AO472" i="5" s="1"/>
  <c r="T176" i="5"/>
  <c r="U176" i="5" s="1"/>
  <c r="AM352" i="5"/>
  <c r="AO352" i="5" s="1"/>
  <c r="AI502" i="5"/>
  <c r="Q554" i="5"/>
  <c r="S554" i="5" s="1"/>
  <c r="Q312" i="5"/>
  <c r="S312" i="5" s="1"/>
  <c r="K35" i="5"/>
  <c r="W184" i="5"/>
  <c r="X184" i="5" s="1"/>
  <c r="W451" i="5"/>
  <c r="Y451" i="5" s="1"/>
  <c r="W319" i="5"/>
  <c r="Y319" i="5" s="1"/>
  <c r="Q344" i="5"/>
  <c r="R344" i="5" s="1"/>
  <c r="Q304" i="5"/>
  <c r="R304" i="5" s="1"/>
  <c r="W78" i="5"/>
  <c r="Y78" i="5" s="1"/>
  <c r="Q534" i="5"/>
  <c r="Q48" i="5"/>
  <c r="S48" i="5" s="1"/>
  <c r="Q320" i="5"/>
  <c r="S320" i="5" s="1"/>
  <c r="Q392" i="5"/>
  <c r="S392" i="5" s="1"/>
  <c r="Q400" i="5"/>
  <c r="S400" i="5" s="1"/>
  <c r="Q488" i="5"/>
  <c r="S488" i="5" s="1"/>
  <c r="Q8" i="5"/>
  <c r="R8" i="5" s="1"/>
  <c r="Q440" i="5"/>
  <c r="S440" i="5" s="1"/>
  <c r="Q200" i="5"/>
  <c r="Q72" i="5"/>
  <c r="S72" i="5" s="1"/>
  <c r="W301" i="5"/>
  <c r="X301" i="5" s="1"/>
  <c r="Q526" i="5"/>
  <c r="R526" i="5" s="1"/>
  <c r="Q456" i="5"/>
  <c r="S456" i="5" s="1"/>
  <c r="Q208" i="5"/>
  <c r="R208" i="5" s="1"/>
  <c r="Q512" i="5"/>
  <c r="S512" i="5" s="1"/>
  <c r="Q144" i="5"/>
  <c r="R144" i="5" s="1"/>
  <c r="B49" i="5"/>
  <c r="W272" i="5"/>
  <c r="W74" i="5"/>
  <c r="Y74" i="5" s="1"/>
  <c r="Q432" i="5"/>
  <c r="S432" i="5" s="1"/>
  <c r="Q168" i="5"/>
  <c r="S168" i="5" s="1"/>
  <c r="Q104" i="5"/>
  <c r="R104" i="5" s="1"/>
  <c r="Q448" i="5"/>
  <c r="R448" i="5" s="1"/>
  <c r="Q480" i="5"/>
  <c r="R480" i="5" s="1"/>
  <c r="Q384" i="5"/>
  <c r="S384" i="5" s="1"/>
  <c r="Q224" i="5"/>
  <c r="R224" i="5" s="1"/>
  <c r="Q152" i="5"/>
  <c r="S152" i="5" s="1"/>
  <c r="Q56" i="5"/>
  <c r="R56" i="5" s="1"/>
  <c r="Q112" i="5"/>
  <c r="R112" i="5" s="1"/>
  <c r="Q538" i="5"/>
  <c r="S538" i="5" s="1"/>
  <c r="Q496" i="5"/>
  <c r="S496" i="5" s="1"/>
  <c r="Q256" i="5"/>
  <c r="S256" i="5" s="1"/>
  <c r="Q120" i="5"/>
  <c r="R120" i="5" s="1"/>
  <c r="Q216" i="5"/>
  <c r="S216" i="5" s="1"/>
  <c r="Q80" i="5"/>
  <c r="S80" i="5" s="1"/>
  <c r="Q424" i="5"/>
  <c r="S424" i="5" s="1"/>
  <c r="Q464" i="5"/>
  <c r="S464" i="5" s="1"/>
  <c r="Q352" i="5"/>
  <c r="S352" i="5" s="1"/>
  <c r="Q264" i="5"/>
  <c r="S264" i="5" s="1"/>
  <c r="Q176" i="5"/>
  <c r="Q546" i="5"/>
  <c r="Q472" i="5"/>
  <c r="S472" i="5" s="1"/>
  <c r="Q416" i="5"/>
  <c r="R416" i="5" s="1"/>
  <c r="Q272" i="5"/>
  <c r="R272" i="5" s="1"/>
  <c r="Q40" i="5"/>
  <c r="S40" i="5" s="1"/>
  <c r="W515" i="5"/>
  <c r="Y515" i="5" s="1"/>
  <c r="W55" i="5"/>
  <c r="X55" i="5" s="1"/>
  <c r="W557" i="5"/>
  <c r="W453" i="5"/>
  <c r="Y453" i="5" s="1"/>
  <c r="W270" i="5"/>
  <c r="Y270" i="5" s="1"/>
  <c r="W100" i="5"/>
  <c r="Y100" i="5" s="1"/>
  <c r="W341" i="5"/>
  <c r="Y341" i="5" s="1"/>
  <c r="W375" i="5"/>
  <c r="Y375" i="5" s="1"/>
  <c r="W26" i="5"/>
  <c r="X26" i="5" s="1"/>
  <c r="Q296" i="5"/>
  <c r="R296" i="5" s="1"/>
  <c r="Q328" i="5"/>
  <c r="S328" i="5" s="1"/>
  <c r="Q360" i="5"/>
  <c r="S360" i="5" s="1"/>
  <c r="Q232" i="5"/>
  <c r="S232" i="5" s="1"/>
  <c r="Q128" i="5"/>
  <c r="R128" i="5" s="1"/>
  <c r="W160" i="5"/>
  <c r="Y160" i="5" s="1"/>
  <c r="Q184" i="5"/>
  <c r="S184" i="5" s="1"/>
  <c r="W24" i="5"/>
  <c r="Y24" i="5" s="1"/>
  <c r="Q64" i="5"/>
  <c r="R64" i="5" s="1"/>
  <c r="Q88" i="5"/>
  <c r="S88" i="5" s="1"/>
  <c r="W66" i="5"/>
  <c r="Y66" i="5" s="1"/>
  <c r="W281" i="5"/>
  <c r="X281" i="5" s="1"/>
  <c r="W28" i="5"/>
  <c r="X28" i="5" s="1"/>
  <c r="W490" i="5"/>
  <c r="X490" i="5" s="1"/>
  <c r="W372" i="5"/>
  <c r="Y372" i="5" s="1"/>
  <c r="W102" i="5"/>
  <c r="Y102" i="5" s="1"/>
  <c r="W86" i="5"/>
  <c r="Y86" i="5" s="1"/>
  <c r="W331" i="5"/>
  <c r="W441" i="5"/>
  <c r="X441" i="5" s="1"/>
  <c r="W204" i="5"/>
  <c r="Y204" i="5" s="1"/>
  <c r="W260" i="5"/>
  <c r="X260" i="5" s="1"/>
  <c r="W399" i="5"/>
  <c r="Y399" i="5" s="1"/>
  <c r="W492" i="5"/>
  <c r="X492" i="5" s="1"/>
  <c r="Q336" i="5"/>
  <c r="S336" i="5" s="1"/>
  <c r="Q368" i="5"/>
  <c r="Q408" i="5"/>
  <c r="S408" i="5" s="1"/>
  <c r="Q240" i="5"/>
  <c r="R240" i="5" s="1"/>
  <c r="Q280" i="5"/>
  <c r="S280" i="5" s="1"/>
  <c r="W136" i="5"/>
  <c r="Y136" i="5" s="1"/>
  <c r="Q160" i="5"/>
  <c r="S160" i="5" s="1"/>
  <c r="W192" i="5"/>
  <c r="Y192" i="5" s="1"/>
  <c r="Q24" i="5"/>
  <c r="S24" i="5" s="1"/>
  <c r="W282" i="5"/>
  <c r="W323" i="5"/>
  <c r="X323" i="5" s="1"/>
  <c r="W135" i="5"/>
  <c r="X135" i="5" s="1"/>
  <c r="W439" i="5"/>
  <c r="X439" i="5" s="1"/>
  <c r="W501" i="5"/>
  <c r="Y501" i="5" s="1"/>
  <c r="W210" i="5"/>
  <c r="Y210" i="5" s="1"/>
  <c r="W259" i="5"/>
  <c r="Y259" i="5" s="1"/>
  <c r="W98" i="5"/>
  <c r="X98" i="5" s="1"/>
  <c r="W110" i="5"/>
  <c r="W291" i="5"/>
  <c r="X291" i="5" s="1"/>
  <c r="W139" i="5"/>
  <c r="X139" i="5" s="1"/>
  <c r="W159" i="5"/>
  <c r="X159" i="5" s="1"/>
  <c r="W382" i="5"/>
  <c r="X382" i="5" s="1"/>
  <c r="W216" i="5"/>
  <c r="X216" i="5" s="1"/>
  <c r="W472" i="5"/>
  <c r="Y472" i="5" s="1"/>
  <c r="Q504" i="5"/>
  <c r="S504" i="5" s="1"/>
  <c r="Q376" i="5"/>
  <c r="Q248" i="5"/>
  <c r="R248" i="5" s="1"/>
  <c r="Q288" i="5"/>
  <c r="S288" i="5" s="1"/>
  <c r="Q136" i="5"/>
  <c r="R136" i="5" s="1"/>
  <c r="W168" i="5"/>
  <c r="Y168" i="5" s="1"/>
  <c r="Q192" i="5"/>
  <c r="S192" i="5" s="1"/>
  <c r="Q32" i="5"/>
  <c r="S32" i="5" s="1"/>
  <c r="W72" i="5"/>
  <c r="X72" i="5" s="1"/>
  <c r="W262" i="5"/>
  <c r="W29" i="5"/>
  <c r="Y29" i="5" s="1"/>
  <c r="W62" i="5"/>
  <c r="Y62" i="5" s="1"/>
  <c r="W365" i="5"/>
  <c r="X365" i="5" s="1"/>
  <c r="W497" i="5"/>
  <c r="Y497" i="5" s="1"/>
  <c r="W183" i="5"/>
  <c r="Y183" i="5" s="1"/>
  <c r="W239" i="5"/>
  <c r="X239" i="5" s="1"/>
  <c r="W334" i="5"/>
  <c r="Y334" i="5" s="1"/>
  <c r="W243" i="5"/>
  <c r="Y243" i="5" s="1"/>
  <c r="W212" i="5"/>
  <c r="W521" i="5"/>
  <c r="X521" i="5" s="1"/>
  <c r="W51" i="5"/>
  <c r="X51" i="5" s="1"/>
  <c r="W330" i="5"/>
  <c r="X330" i="5" s="1"/>
  <c r="W526" i="5"/>
  <c r="X526" i="5" s="1"/>
  <c r="W333" i="5"/>
  <c r="Y333" i="5" s="1"/>
  <c r="W321" i="5"/>
  <c r="X321" i="5" s="1"/>
  <c r="W481" i="5"/>
  <c r="Y481" i="5" s="1"/>
  <c r="W405" i="5"/>
  <c r="W65" i="5"/>
  <c r="X65" i="5" s="1"/>
  <c r="W274" i="5"/>
  <c r="Y274" i="5" s="1"/>
  <c r="W305" i="5"/>
  <c r="X305" i="5" s="1"/>
  <c r="W101" i="5"/>
  <c r="X101" i="5" s="1"/>
  <c r="W467" i="5"/>
  <c r="X467" i="5" s="1"/>
  <c r="W60" i="5"/>
  <c r="Y60" i="5" s="1"/>
  <c r="W366" i="5"/>
  <c r="W290" i="5"/>
  <c r="W189" i="5"/>
  <c r="X189" i="5" s="1"/>
  <c r="W554" i="5"/>
  <c r="X554" i="5" s="1"/>
  <c r="W80" i="5"/>
  <c r="X80" i="5" s="1"/>
  <c r="W75" i="5"/>
  <c r="X75" i="5" s="1"/>
  <c r="W438" i="5"/>
  <c r="Y438" i="5" s="1"/>
  <c r="W386" i="5"/>
  <c r="X386" i="5" s="1"/>
  <c r="W132" i="5"/>
  <c r="W343" i="5"/>
  <c r="W237" i="5"/>
  <c r="X237" i="5" s="1"/>
  <c r="W181" i="5"/>
  <c r="X181" i="5" s="1"/>
  <c r="W71" i="5"/>
  <c r="Y71" i="5" s="1"/>
  <c r="W422" i="5"/>
  <c r="X422" i="5" s="1"/>
  <c r="W197" i="5"/>
  <c r="X197" i="5" s="1"/>
  <c r="W549" i="5"/>
  <c r="Y549" i="5" s="1"/>
  <c r="W293" i="5"/>
  <c r="X293" i="5" s="1"/>
  <c r="W403" i="5"/>
  <c r="X161" i="5"/>
  <c r="W392" i="5"/>
  <c r="Y392" i="5" s="1"/>
  <c r="W394" i="5"/>
  <c r="Y394" i="5" s="1"/>
  <c r="W358" i="5"/>
  <c r="Y358" i="5" s="1"/>
  <c r="W517" i="5"/>
  <c r="X517" i="5" s="1"/>
  <c r="W125" i="5"/>
  <c r="W551" i="5"/>
  <c r="Y551" i="5" s="1"/>
  <c r="W106" i="5"/>
  <c r="X106" i="5" s="1"/>
  <c r="W255" i="5"/>
  <c r="X255" i="5" s="1"/>
  <c r="W436" i="5"/>
  <c r="X436" i="5" s="1"/>
  <c r="W535" i="5"/>
  <c r="Y535" i="5" s="1"/>
  <c r="W340" i="5"/>
  <c r="Y340" i="5" s="1"/>
  <c r="W154" i="5"/>
  <c r="W435" i="5"/>
  <c r="W158" i="5"/>
  <c r="X158" i="5" s="1"/>
  <c r="W27" i="5"/>
  <c r="Y27" i="5" s="1"/>
  <c r="W122" i="5"/>
  <c r="W348" i="5"/>
  <c r="Y348" i="5" s="1"/>
  <c r="W510" i="5"/>
  <c r="X510" i="5" s="1"/>
  <c r="W68" i="5"/>
  <c r="W507" i="5"/>
  <c r="Y507" i="5" s="1"/>
  <c r="W454" i="5"/>
  <c r="X454" i="5" s="1"/>
  <c r="W531" i="5"/>
  <c r="X531" i="5" s="1"/>
  <c r="W449" i="5"/>
  <c r="Y449" i="5" s="1"/>
  <c r="W267" i="5"/>
  <c r="X267" i="5" s="1"/>
  <c r="W177" i="5"/>
  <c r="Y177" i="5" s="1"/>
  <c r="W299" i="5"/>
  <c r="Y299" i="5" s="1"/>
  <c r="W351" i="5"/>
  <c r="Y351" i="5" s="1"/>
  <c r="W536" i="5"/>
  <c r="Y536" i="5" s="1"/>
  <c r="S19" i="4"/>
  <c r="AL19" i="4" s="1"/>
  <c r="S27" i="4"/>
  <c r="AL27" i="4" s="1"/>
  <c r="S35" i="4"/>
  <c r="AL35" i="4" s="1"/>
  <c r="S43" i="4"/>
  <c r="AL43" i="4" s="1"/>
  <c r="S51" i="4"/>
  <c r="AL51" i="4" s="1"/>
  <c r="S60" i="4"/>
  <c r="AL60" i="4" s="1"/>
  <c r="S134" i="4"/>
  <c r="AL134" i="4" s="1"/>
  <c r="S98" i="4"/>
  <c r="U98" i="4" s="1"/>
  <c r="S65" i="4"/>
  <c r="AL65" i="4" s="1"/>
  <c r="S92" i="4"/>
  <c r="AL92" i="4" s="1"/>
  <c r="S123" i="4"/>
  <c r="AL123" i="4" s="1"/>
  <c r="S149" i="4"/>
  <c r="AL149" i="4" s="1"/>
  <c r="S91" i="4"/>
  <c r="AL91" i="4" s="1"/>
  <c r="S133" i="4"/>
  <c r="AS133" i="4" s="1"/>
  <c r="S145" i="4"/>
  <c r="AL145" i="4" s="1"/>
  <c r="S138" i="4"/>
  <c r="AL138" i="4" s="1"/>
  <c r="S113" i="4"/>
  <c r="AL113" i="4" s="1"/>
  <c r="S89" i="4"/>
  <c r="AL89" i="4" s="1"/>
  <c r="S7" i="4"/>
  <c r="AL7" i="4" s="1"/>
  <c r="S58" i="4"/>
  <c r="AL58" i="4" s="1"/>
  <c r="S122" i="4"/>
  <c r="AL122" i="4" s="1"/>
  <c r="S73" i="4"/>
  <c r="V73" i="4" s="1"/>
  <c r="AM73" i="4" s="1"/>
  <c r="S20" i="4"/>
  <c r="AL20" i="4" s="1"/>
  <c r="S28" i="4"/>
  <c r="AL28" i="4" s="1"/>
  <c r="S36" i="4"/>
  <c r="AL36" i="4" s="1"/>
  <c r="S44" i="4"/>
  <c r="AL44" i="4" s="1"/>
  <c r="S52" i="4"/>
  <c r="AL52" i="4" s="1"/>
  <c r="S67" i="4"/>
  <c r="AL67" i="4" s="1"/>
  <c r="S68" i="4"/>
  <c r="AL68" i="4" s="1"/>
  <c r="S102" i="4"/>
  <c r="AL102" i="4" s="1"/>
  <c r="S66" i="4"/>
  <c r="AL66" i="4" s="1"/>
  <c r="S96" i="4"/>
  <c r="AL96" i="4" s="1"/>
  <c r="S124" i="4"/>
  <c r="AL124" i="4" s="1"/>
  <c r="S153" i="4"/>
  <c r="AL153" i="4" s="1"/>
  <c r="S95" i="4"/>
  <c r="AL95" i="4" s="1"/>
  <c r="S77" i="4"/>
  <c r="V77" i="4" s="1"/>
  <c r="S156" i="4"/>
  <c r="AL156" i="4" s="1"/>
  <c r="S141" i="4"/>
  <c r="AS141" i="4" s="1"/>
  <c r="S117" i="4"/>
  <c r="AL117" i="4" s="1"/>
  <c r="S108" i="4"/>
  <c r="AL108" i="4" s="1"/>
  <c r="S50" i="4"/>
  <c r="AL50" i="4" s="1"/>
  <c r="S88" i="4"/>
  <c r="AL88" i="4" s="1"/>
  <c r="S118" i="4"/>
  <c r="U118" i="4" s="1"/>
  <c r="S15" i="4"/>
  <c r="AL15" i="4" s="1"/>
  <c r="S21" i="4"/>
  <c r="S29" i="4"/>
  <c r="AL29" i="4" s="1"/>
  <c r="S37" i="4"/>
  <c r="AL37" i="4" s="1"/>
  <c r="S45" i="4"/>
  <c r="AL45" i="4" s="1"/>
  <c r="S53" i="4"/>
  <c r="AL53" i="4" s="1"/>
  <c r="S62" i="4"/>
  <c r="U62" i="4" s="1"/>
  <c r="S74" i="4"/>
  <c r="AL74" i="4" s="1"/>
  <c r="S109" i="4"/>
  <c r="AL109" i="4" s="1"/>
  <c r="S71" i="4"/>
  <c r="AL71" i="4" s="1"/>
  <c r="S100" i="4"/>
  <c r="AL100" i="4" s="1"/>
  <c r="S125" i="4"/>
  <c r="AL125" i="4" s="1"/>
  <c r="S8" i="4"/>
  <c r="AL8" i="4" s="1"/>
  <c r="S103" i="4"/>
  <c r="AL103" i="4" s="1"/>
  <c r="S93" i="4"/>
  <c r="AL93" i="4" s="1"/>
  <c r="S9" i="4"/>
  <c r="AL9" i="4" s="1"/>
  <c r="S152" i="4"/>
  <c r="AL152" i="4" s="1"/>
  <c r="S147" i="4"/>
  <c r="AL147" i="4" s="1"/>
  <c r="S116" i="4"/>
  <c r="AL116" i="4" s="1"/>
  <c r="S26" i="4"/>
  <c r="AL26" i="4" s="1"/>
  <c r="S130" i="4"/>
  <c r="U130" i="4" s="1"/>
  <c r="S83" i="4"/>
  <c r="AL83" i="4" s="1"/>
  <c r="S101" i="4"/>
  <c r="S63" i="4"/>
  <c r="AL63" i="4" s="1"/>
  <c r="S22" i="4"/>
  <c r="AL22" i="4" s="1"/>
  <c r="S30" i="4"/>
  <c r="AL30" i="4" s="1"/>
  <c r="S38" i="4"/>
  <c r="AL38" i="4" s="1"/>
  <c r="S46" i="4"/>
  <c r="AL46" i="4" s="1"/>
  <c r="S54" i="4"/>
  <c r="AL54" i="4" s="1"/>
  <c r="S69" i="4"/>
  <c r="AL69" i="4" s="1"/>
  <c r="S78" i="4"/>
  <c r="AL78" i="4" s="1"/>
  <c r="S110" i="4"/>
  <c r="AL110" i="4" s="1"/>
  <c r="S72" i="4"/>
  <c r="AL72" i="4" s="1"/>
  <c r="S105" i="4"/>
  <c r="V105" i="4" s="1"/>
  <c r="S126" i="4"/>
  <c r="AL126" i="4" s="1"/>
  <c r="S61" i="4"/>
  <c r="AL61" i="4" s="1"/>
  <c r="S104" i="4"/>
  <c r="AL104" i="4" s="1"/>
  <c r="S107" i="4"/>
  <c r="AL107" i="4" s="1"/>
  <c r="S10" i="4"/>
  <c r="AS10" i="4" s="1"/>
  <c r="S155" i="4"/>
  <c r="AS155" i="4" s="1"/>
  <c r="S148" i="4"/>
  <c r="AL148" i="4" s="1"/>
  <c r="S143" i="4"/>
  <c r="U143" i="4" s="1"/>
  <c r="S18" i="4"/>
  <c r="AL18" i="4" s="1"/>
  <c r="S94" i="4"/>
  <c r="S132" i="4"/>
  <c r="S64" i="4"/>
  <c r="AL64" i="4" s="1"/>
  <c r="S23" i="4"/>
  <c r="AL23" i="4" s="1"/>
  <c r="S31" i="4"/>
  <c r="AL31" i="4" s="1"/>
  <c r="S39" i="4"/>
  <c r="AL39" i="4" s="1"/>
  <c r="S47" i="4"/>
  <c r="AL47" i="4" s="1"/>
  <c r="S55" i="4"/>
  <c r="AL55" i="4" s="1"/>
  <c r="S87" i="4"/>
  <c r="AL87" i="4" s="1"/>
  <c r="S82" i="4"/>
  <c r="AL82" i="4" s="1"/>
  <c r="S119" i="4"/>
  <c r="AL119" i="4" s="1"/>
  <c r="S76" i="4"/>
  <c r="AL76" i="4" s="1"/>
  <c r="S106" i="4"/>
  <c r="AL106" i="4" s="1"/>
  <c r="S135" i="4"/>
  <c r="AL135" i="4" s="1"/>
  <c r="S70" i="4"/>
  <c r="AL70" i="4" s="1"/>
  <c r="S111" i="4"/>
  <c r="AL111" i="4" s="1"/>
  <c r="S115" i="4"/>
  <c r="AL115" i="4" s="1"/>
  <c r="S81" i="4"/>
  <c r="AL81" i="4" s="1"/>
  <c r="S13" i="4"/>
  <c r="AL13" i="4" s="1"/>
  <c r="S151" i="4"/>
  <c r="AL151" i="4" s="1"/>
  <c r="S146" i="4"/>
  <c r="AL146" i="4" s="1"/>
  <c r="S42" i="4"/>
  <c r="AL42" i="4" s="1"/>
  <c r="S144" i="4"/>
  <c r="AL144" i="4" s="1"/>
  <c r="S11" i="4"/>
  <c r="AL11" i="4" s="1"/>
  <c r="S16" i="4"/>
  <c r="AL16" i="4" s="1"/>
  <c r="S24" i="4"/>
  <c r="AL24" i="4" s="1"/>
  <c r="S32" i="4"/>
  <c r="AL32" i="4" s="1"/>
  <c r="S40" i="4"/>
  <c r="AL40" i="4" s="1"/>
  <c r="S48" i="4"/>
  <c r="AL48" i="4" s="1"/>
  <c r="S56" i="4"/>
  <c r="AL56" i="4" s="1"/>
  <c r="S99" i="4"/>
  <c r="AL99" i="4" s="1"/>
  <c r="S86" i="4"/>
  <c r="AL86" i="4" s="1"/>
  <c r="S128" i="4"/>
  <c r="AL128" i="4" s="1"/>
  <c r="S80" i="4"/>
  <c r="AL80" i="4" s="1"/>
  <c r="S112" i="4"/>
  <c r="AL112" i="4" s="1"/>
  <c r="S139" i="4"/>
  <c r="AL139" i="4" s="1"/>
  <c r="S75" i="4"/>
  <c r="AL75" i="4" s="1"/>
  <c r="S129" i="4"/>
  <c r="AL129" i="4" s="1"/>
  <c r="S127" i="4"/>
  <c r="AL127" i="4" s="1"/>
  <c r="S97" i="4"/>
  <c r="AL97" i="4" s="1"/>
  <c r="S14" i="4"/>
  <c r="AL14" i="4" s="1"/>
  <c r="S154" i="4"/>
  <c r="AL154" i="4" s="1"/>
  <c r="S150" i="4"/>
  <c r="AL150" i="4" s="1"/>
  <c r="S17" i="4"/>
  <c r="AL17" i="4" s="1"/>
  <c r="S25" i="4"/>
  <c r="AL25" i="4" s="1"/>
  <c r="S33" i="4"/>
  <c r="AL33" i="4" s="1"/>
  <c r="S41" i="4"/>
  <c r="AL41" i="4" s="1"/>
  <c r="S49" i="4"/>
  <c r="AL49" i="4" s="1"/>
  <c r="S57" i="4"/>
  <c r="AL57" i="4" s="1"/>
  <c r="S120" i="4"/>
  <c r="AL120" i="4" s="1"/>
  <c r="S90" i="4"/>
  <c r="AL90" i="4" s="1"/>
  <c r="S137" i="4"/>
  <c r="AL137" i="4" s="1"/>
  <c r="S84" i="4"/>
  <c r="V84" i="4" s="1"/>
  <c r="S121" i="4"/>
  <c r="AL121" i="4" s="1"/>
  <c r="S140" i="4"/>
  <c r="V140" i="4" s="1"/>
  <c r="S79" i="4"/>
  <c r="S131" i="4"/>
  <c r="AL131" i="4" s="1"/>
  <c r="S136" i="4"/>
  <c r="AL136" i="4" s="1"/>
  <c r="S114" i="4"/>
  <c r="AL114" i="4" s="1"/>
  <c r="S85" i="4"/>
  <c r="AL85" i="4" s="1"/>
  <c r="S12" i="4"/>
  <c r="AL12" i="4" s="1"/>
  <c r="S157" i="4"/>
  <c r="V157" i="4" s="1"/>
  <c r="S34" i="4"/>
  <c r="S59" i="4"/>
  <c r="S142" i="4"/>
  <c r="AL142" i="4" s="1"/>
  <c r="W546" i="5"/>
  <c r="Y546" i="5" s="1"/>
  <c r="W424" i="5"/>
  <c r="X424" i="5" s="1"/>
  <c r="W448" i="5"/>
  <c r="X448" i="5" s="1"/>
  <c r="W496" i="5"/>
  <c r="Y496" i="5" s="1"/>
  <c r="W320" i="5"/>
  <c r="X320" i="5" s="1"/>
  <c r="W344" i="5"/>
  <c r="Y344" i="5" s="1"/>
  <c r="W368" i="5"/>
  <c r="Y368" i="5" s="1"/>
  <c r="W312" i="5"/>
  <c r="X312" i="5" s="1"/>
  <c r="W48" i="5"/>
  <c r="X48" i="5" s="1"/>
  <c r="W96" i="5"/>
  <c r="Y96" i="5" s="1"/>
  <c r="W553" i="5"/>
  <c r="Y553" i="5" s="1"/>
  <c r="W220" i="5"/>
  <c r="X220" i="5" s="1"/>
  <c r="W89" i="5"/>
  <c r="Y89" i="5" s="1"/>
  <c r="W218" i="5"/>
  <c r="Y218" i="5" s="1"/>
  <c r="W324" i="5"/>
  <c r="Y324" i="5" s="1"/>
  <c r="W390" i="5"/>
  <c r="Y390" i="5" s="1"/>
  <c r="W425" i="5"/>
  <c r="X425" i="5" s="1"/>
  <c r="W361" i="5"/>
  <c r="X361" i="5" s="1"/>
  <c r="W362" i="5"/>
  <c r="X362" i="5" s="1"/>
  <c r="W67" i="5"/>
  <c r="X67" i="5" s="1"/>
  <c r="W105" i="5"/>
  <c r="X105" i="5" s="1"/>
  <c r="W503" i="5"/>
  <c r="X503" i="5" s="1"/>
  <c r="W494" i="5"/>
  <c r="X494" i="5" s="1"/>
  <c r="W58" i="5"/>
  <c r="Y58" i="5" s="1"/>
  <c r="W552" i="5"/>
  <c r="Y552" i="5" s="1"/>
  <c r="W332" i="5"/>
  <c r="X332" i="5" s="1"/>
  <c r="W93" i="5"/>
  <c r="X93" i="5" s="1"/>
  <c r="W476" i="5"/>
  <c r="Y476" i="5" s="1"/>
  <c r="W478" i="5"/>
  <c r="Y478" i="5" s="1"/>
  <c r="W164" i="5"/>
  <c r="Y164" i="5" s="1"/>
  <c r="W474" i="5"/>
  <c r="Y474" i="5" s="1"/>
  <c r="W273" i="5"/>
  <c r="Y273" i="5" s="1"/>
  <c r="W244" i="5"/>
  <c r="Y244" i="5" s="1"/>
  <c r="W129" i="5"/>
  <c r="Y129" i="5" s="1"/>
  <c r="W163" i="5"/>
  <c r="X163" i="5" s="1"/>
  <c r="W167" i="5"/>
  <c r="W318" i="5"/>
  <c r="X318" i="5" s="1"/>
  <c r="W310" i="5"/>
  <c r="Y310" i="5" s="1"/>
  <c r="W44" i="5"/>
  <c r="Y44" i="5" s="1"/>
  <c r="W233" i="5"/>
  <c r="X233" i="5" s="1"/>
  <c r="W36" i="5"/>
  <c r="Y36" i="5" s="1"/>
  <c r="W82" i="5"/>
  <c r="X82" i="5" s="1"/>
  <c r="W428" i="5"/>
  <c r="Y428" i="5" s="1"/>
  <c r="W471" i="5"/>
  <c r="Y471" i="5" s="1"/>
  <c r="W21" i="5"/>
  <c r="Y21" i="5" s="1"/>
  <c r="W559" i="5"/>
  <c r="Y559" i="5" s="1"/>
  <c r="W410" i="5"/>
  <c r="X410" i="5" s="1"/>
  <c r="W222" i="5"/>
  <c r="Y222" i="5" s="1"/>
  <c r="W254" i="5"/>
  <c r="Y254" i="5" s="1"/>
  <c r="W130" i="5"/>
  <c r="X130" i="5" s="1"/>
  <c r="W235" i="5"/>
  <c r="W377" i="5"/>
  <c r="W461" i="5"/>
  <c r="W207" i="5"/>
  <c r="Y207" i="5" s="1"/>
  <c r="W408" i="5"/>
  <c r="X408" i="5" s="1"/>
  <c r="W47" i="5"/>
  <c r="W77" i="5"/>
  <c r="X77" i="5" s="1"/>
  <c r="W307" i="5"/>
  <c r="W445" i="5"/>
  <c r="Y445" i="5" s="1"/>
  <c r="W429" i="5"/>
  <c r="X429" i="5" s="1"/>
  <c r="W185" i="5"/>
  <c r="X185" i="5" s="1"/>
  <c r="W423" i="5"/>
  <c r="X423" i="5" s="1"/>
  <c r="W442" i="5"/>
  <c r="Y442" i="5" s="1"/>
  <c r="W248" i="5"/>
  <c r="Y248" i="5" s="1"/>
  <c r="W456" i="5"/>
  <c r="W504" i="5"/>
  <c r="Y504" i="5" s="1"/>
  <c r="W376" i="5"/>
  <c r="X376" i="5" s="1"/>
  <c r="W400" i="5"/>
  <c r="Y400" i="5" s="1"/>
  <c r="W224" i="5"/>
  <c r="Y224" i="5" s="1"/>
  <c r="W256" i="5"/>
  <c r="Y256" i="5" s="1"/>
  <c r="W288" i="5"/>
  <c r="X288" i="5" s="1"/>
  <c r="W120" i="5"/>
  <c r="X120" i="5" s="1"/>
  <c r="W56" i="5"/>
  <c r="W104" i="5"/>
  <c r="Y104" i="5" s="1"/>
  <c r="W148" i="5"/>
  <c r="X148" i="5" s="1"/>
  <c r="W491" i="5"/>
  <c r="Y491" i="5" s="1"/>
  <c r="W322" i="5"/>
  <c r="Y322" i="5" s="1"/>
  <c r="W114" i="5"/>
  <c r="Y114" i="5" s="1"/>
  <c r="W347" i="5"/>
  <c r="Y347" i="5" s="1"/>
  <c r="W378" i="5"/>
  <c r="X378" i="5" s="1"/>
  <c r="W528" i="5"/>
  <c r="Y528" i="5" s="1"/>
  <c r="W508" i="5"/>
  <c r="Y508" i="5" s="1"/>
  <c r="W327" i="5"/>
  <c r="Y327" i="5" s="1"/>
  <c r="W271" i="5"/>
  <c r="X271" i="5" s="1"/>
  <c r="W37" i="5"/>
  <c r="X37" i="5" s="1"/>
  <c r="W356" i="5"/>
  <c r="X356" i="5" s="1"/>
  <c r="W409" i="5"/>
  <c r="Y409" i="5" s="1"/>
  <c r="W530" i="5"/>
  <c r="X530" i="5" s="1"/>
  <c r="W269" i="5"/>
  <c r="W206" i="5"/>
  <c r="Y206" i="5" s="1"/>
  <c r="W20" i="5"/>
  <c r="X20" i="5" s="1"/>
  <c r="W300" i="5"/>
  <c r="Y300" i="5" s="1"/>
  <c r="W393" i="5"/>
  <c r="Y393" i="5" s="1"/>
  <c r="W34" i="5"/>
  <c r="Y34" i="5" s="1"/>
  <c r="W391" i="5"/>
  <c r="X391" i="5" s="1"/>
  <c r="W373" i="5"/>
  <c r="W145" i="5"/>
  <c r="X145" i="5" s="1"/>
  <c r="W178" i="5"/>
  <c r="Y178" i="5" s="1"/>
  <c r="W458" i="5"/>
  <c r="X458" i="5" s="1"/>
  <c r="W511" i="5"/>
  <c r="Y511" i="5" s="1"/>
  <c r="W134" i="5"/>
  <c r="X134" i="5" s="1"/>
  <c r="W236" i="5"/>
  <c r="X236" i="5" s="1"/>
  <c r="W411" i="5"/>
  <c r="X411" i="5" s="1"/>
  <c r="W278" i="5"/>
  <c r="Y278" i="5" s="1"/>
  <c r="W311" i="5"/>
  <c r="Y311" i="5" s="1"/>
  <c r="W39" i="5"/>
  <c r="X39" i="5" s="1"/>
  <c r="W261" i="5"/>
  <c r="Y261" i="5" s="1"/>
  <c r="W473" i="5"/>
  <c r="X473" i="5" s="1"/>
  <c r="W475" i="5"/>
  <c r="Y475" i="5" s="1"/>
  <c r="W430" i="5"/>
  <c r="X430" i="5" s="1"/>
  <c r="W45" i="5"/>
  <c r="X45" i="5" s="1"/>
  <c r="W174" i="5"/>
  <c r="Y174" i="5" s="1"/>
  <c r="W195" i="5"/>
  <c r="Y195" i="5" s="1"/>
  <c r="W505" i="5"/>
  <c r="Y505" i="5" s="1"/>
  <c r="W69" i="5"/>
  <c r="X69" i="5" s="1"/>
  <c r="W172" i="5"/>
  <c r="X172" i="5" s="1"/>
  <c r="W297" i="5"/>
  <c r="X297" i="5" s="1"/>
  <c r="W523" i="5"/>
  <c r="X523" i="5" s="1"/>
  <c r="W257" i="5"/>
  <c r="Y257" i="5" s="1"/>
  <c r="W258" i="5"/>
  <c r="Y258" i="5" s="1"/>
  <c r="W53" i="5"/>
  <c r="X53" i="5" s="1"/>
  <c r="W406" i="5"/>
  <c r="Y406" i="5" s="1"/>
  <c r="W213" i="5"/>
  <c r="X213" i="5" s="1"/>
  <c r="W460" i="5"/>
  <c r="X460" i="5" s="1"/>
  <c r="W46" i="5"/>
  <c r="X46" i="5" s="1"/>
  <c r="W268" i="5"/>
  <c r="X268" i="5" s="1"/>
  <c r="B40" i="5"/>
  <c r="W32" i="5"/>
  <c r="Y32" i="5" s="1"/>
  <c r="W432" i="5"/>
  <c r="Y432" i="5" s="1"/>
  <c r="W480" i="5"/>
  <c r="X480" i="5" s="1"/>
  <c r="W328" i="5"/>
  <c r="Y328" i="5" s="1"/>
  <c r="W144" i="5"/>
  <c r="X144" i="5" s="1"/>
  <c r="W200" i="5"/>
  <c r="Y200" i="5" s="1"/>
  <c r="W522" i="5"/>
  <c r="Y522" i="5" s="1"/>
  <c r="W283" i="5"/>
  <c r="Y283" i="5" s="1"/>
  <c r="W326" i="5"/>
  <c r="X326" i="5" s="1"/>
  <c r="W111" i="5"/>
  <c r="Y111" i="5" s="1"/>
  <c r="W149" i="5"/>
  <c r="Y149" i="5" s="1"/>
  <c r="W396" i="5"/>
  <c r="X396" i="5" s="1"/>
  <c r="W518" i="5"/>
  <c r="Y518" i="5" s="1"/>
  <c r="W294" i="5"/>
  <c r="X294" i="5" s="1"/>
  <c r="W306" i="5"/>
  <c r="Y306" i="5" s="1"/>
  <c r="W81" i="5"/>
  <c r="X81" i="5" s="1"/>
  <c r="W289" i="5"/>
  <c r="X289" i="5" s="1"/>
  <c r="W367" i="5"/>
  <c r="Y367" i="5" s="1"/>
  <c r="W401" i="5"/>
  <c r="X401" i="5" s="1"/>
  <c r="W292" i="5"/>
  <c r="Y292" i="5" s="1"/>
  <c r="W415" i="5"/>
  <c r="X415" i="5" s="1"/>
  <c r="W91" i="5"/>
  <c r="Y91" i="5" s="1"/>
  <c r="W265" i="5"/>
  <c r="X265" i="5" s="1"/>
  <c r="W346" i="5"/>
  <c r="X346" i="5" s="1"/>
  <c r="W387" i="5"/>
  <c r="Y387" i="5" s="1"/>
  <c r="W308" i="5"/>
  <c r="X308" i="5" s="1"/>
  <c r="W190" i="5"/>
  <c r="X190" i="5" s="1"/>
  <c r="W109" i="5"/>
  <c r="X109" i="5" s="1"/>
  <c r="W117" i="5"/>
  <c r="Y117" i="5" s="1"/>
  <c r="W443" i="5"/>
  <c r="X443" i="5" s="1"/>
  <c r="W483" i="5"/>
  <c r="Y483" i="5" s="1"/>
  <c r="W49" i="5"/>
  <c r="W459" i="5"/>
  <c r="W285" i="5"/>
  <c r="W242" i="5"/>
  <c r="X242" i="5" s="1"/>
  <c r="W263" i="5"/>
  <c r="Y263" i="5" s="1"/>
  <c r="W95" i="5"/>
  <c r="Y95" i="5" s="1"/>
  <c r="W298" i="5"/>
  <c r="Y298" i="5" s="1"/>
  <c r="W371" i="5"/>
  <c r="X371" i="5" s="1"/>
  <c r="W97" i="5"/>
  <c r="X97" i="5" s="1"/>
  <c r="W253" i="5"/>
  <c r="X253" i="5" s="1"/>
  <c r="W214" i="5"/>
  <c r="X214" i="5" s="1"/>
  <c r="W113" i="5"/>
  <c r="W166" i="5"/>
  <c r="Y166" i="5" s="1"/>
  <c r="W389" i="5"/>
  <c r="X389" i="5" s="1"/>
  <c r="W468" i="5"/>
  <c r="Y468" i="5" s="1"/>
  <c r="W115" i="5"/>
  <c r="X115" i="5" s="1"/>
  <c r="W520" i="5"/>
  <c r="X520" i="5" s="1"/>
  <c r="W506" i="5"/>
  <c r="X506" i="5" s="1"/>
  <c r="W193" i="5"/>
  <c r="W221" i="5"/>
  <c r="X221" i="5" s="1"/>
  <c r="W108" i="5"/>
  <c r="Y108" i="5" s="1"/>
  <c r="W313" i="5"/>
  <c r="Y313" i="5" s="1"/>
  <c r="W226" i="5"/>
  <c r="Y226" i="5" s="1"/>
  <c r="W479" i="5"/>
  <c r="W50" i="5"/>
  <c r="W275" i="5"/>
  <c r="Y275" i="5" s="1"/>
  <c r="W342" i="5"/>
  <c r="X342" i="5" s="1"/>
  <c r="W352" i="5"/>
  <c r="X352" i="5" s="1"/>
  <c r="W534" i="5"/>
  <c r="Y534" i="5" s="1"/>
  <c r="W264" i="5"/>
  <c r="X264" i="5" s="1"/>
  <c r="W176" i="5"/>
  <c r="X176" i="5" s="1"/>
  <c r="W64" i="5"/>
  <c r="Y64" i="5" s="1"/>
  <c r="W112" i="5"/>
  <c r="W537" i="5"/>
  <c r="Y537" i="5" s="1"/>
  <c r="W126" i="5"/>
  <c r="X126" i="5" s="1"/>
  <c r="W544" i="5"/>
  <c r="X544" i="5" s="1"/>
  <c r="W107" i="5"/>
  <c r="X107" i="5" s="1"/>
  <c r="W314" i="5"/>
  <c r="X314" i="5" s="1"/>
  <c r="W338" i="5"/>
  <c r="Y338" i="5" s="1"/>
  <c r="W170" i="5"/>
  <c r="Y170" i="5" s="1"/>
  <c r="W201" i="5"/>
  <c r="Y201" i="5" s="1"/>
  <c r="W198" i="5"/>
  <c r="Y198" i="5" s="1"/>
  <c r="W286" i="5"/>
  <c r="X286" i="5" s="1"/>
  <c r="W140" i="5"/>
  <c r="Y140" i="5" s="1"/>
  <c r="W196" i="5"/>
  <c r="X196" i="5" s="1"/>
  <c r="W302" i="5"/>
  <c r="Y302" i="5" s="1"/>
  <c r="W431" i="5"/>
  <c r="Y431" i="5" s="1"/>
  <c r="W76" i="5"/>
  <c r="X76" i="5" s="1"/>
  <c r="W59" i="5"/>
  <c r="X59" i="5" s="1"/>
  <c r="W179" i="5"/>
  <c r="X179" i="5" s="1"/>
  <c r="W231" i="5"/>
  <c r="Y231" i="5" s="1"/>
  <c r="W251" i="5"/>
  <c r="X251" i="5" s="1"/>
  <c r="W498" i="5"/>
  <c r="Y498" i="5" s="1"/>
  <c r="W43" i="5"/>
  <c r="Y43" i="5" s="1"/>
  <c r="W303" i="5"/>
  <c r="Y303" i="5" s="1"/>
  <c r="W54" i="5"/>
  <c r="X54" i="5" s="1"/>
  <c r="W84" i="5"/>
  <c r="X84" i="5" s="1"/>
  <c r="W465" i="5"/>
  <c r="Y465" i="5" s="1"/>
  <c r="W450" i="5"/>
  <c r="X450" i="5" s="1"/>
  <c r="W246" i="5"/>
  <c r="X246" i="5" s="1"/>
  <c r="W539" i="5"/>
  <c r="X539" i="5" s="1"/>
  <c r="W329" i="5"/>
  <c r="Y329" i="5" s="1"/>
  <c r="W228" i="5"/>
  <c r="Y228" i="5" s="1"/>
  <c r="W232" i="5"/>
  <c r="Y232" i="5" s="1"/>
  <c r="W191" i="5"/>
  <c r="Y191" i="5" s="1"/>
  <c r="W287" i="5"/>
  <c r="X287" i="5" s="1"/>
  <c r="W412" i="5"/>
  <c r="Y412" i="5" s="1"/>
  <c r="W407" i="5"/>
  <c r="X407" i="5" s="1"/>
  <c r="W309" i="5"/>
  <c r="Y309" i="5" s="1"/>
  <c r="W525" i="5"/>
  <c r="Y525" i="5" s="1"/>
  <c r="W63" i="5"/>
  <c r="X63" i="5" s="1"/>
  <c r="W121" i="5"/>
  <c r="X121" i="5" s="1"/>
  <c r="W402" i="5"/>
  <c r="X402" i="5" s="1"/>
  <c r="W433" i="5"/>
  <c r="X433" i="5" s="1"/>
  <c r="W35" i="5"/>
  <c r="X35" i="5" s="1"/>
  <c r="W560" i="5"/>
  <c r="Y560" i="5" s="1"/>
  <c r="W381" i="5"/>
  <c r="X381" i="5" s="1"/>
  <c r="W187" i="5"/>
  <c r="X187" i="5" s="1"/>
  <c r="W245" i="5"/>
  <c r="X245" i="5" s="1"/>
  <c r="W241" i="5"/>
  <c r="X241" i="5" s="1"/>
  <c r="W238" i="5"/>
  <c r="X238" i="5" s="1"/>
  <c r="W119" i="5"/>
  <c r="X119" i="5" s="1"/>
  <c r="W276" i="5"/>
  <c r="Y276" i="5" s="1"/>
  <c r="W141" i="5"/>
  <c r="X141" i="5" s="1"/>
  <c r="W414" i="5"/>
  <c r="Y414" i="5" s="1"/>
  <c r="W208" i="5"/>
  <c r="X208" i="5" s="1"/>
  <c r="W538" i="5"/>
  <c r="Y538" i="5" s="1"/>
  <c r="W440" i="5"/>
  <c r="X440" i="5" s="1"/>
  <c r="W464" i="5"/>
  <c r="X464" i="5" s="1"/>
  <c r="W336" i="5"/>
  <c r="X336" i="5" s="1"/>
  <c r="W384" i="5"/>
  <c r="X384" i="5" s="1"/>
  <c r="W296" i="5"/>
  <c r="X296" i="5" s="1"/>
  <c r="W128" i="5"/>
  <c r="Y128" i="5" s="1"/>
  <c r="W40" i="5"/>
  <c r="Y40" i="5" s="1"/>
  <c r="W88" i="5"/>
  <c r="Y88" i="5" s="1"/>
  <c r="W79" i="5"/>
  <c r="Y79" i="5" s="1"/>
  <c r="W543" i="5"/>
  <c r="X543" i="5" s="1"/>
  <c r="W355" i="5"/>
  <c r="Y355" i="5" s="1"/>
  <c r="W444" i="5"/>
  <c r="X444" i="5" s="1"/>
  <c r="W153" i="5"/>
  <c r="X153" i="5" s="1"/>
  <c r="W25" i="5"/>
  <c r="Y25" i="5" s="1"/>
  <c r="W38" i="5"/>
  <c r="X38" i="5" s="1"/>
  <c r="W165" i="5"/>
  <c r="Y165" i="5" s="1"/>
  <c r="W175" i="5"/>
  <c r="X175" i="5" s="1"/>
  <c r="W542" i="5"/>
  <c r="X542" i="5" s="1"/>
  <c r="W143" i="5"/>
  <c r="X143" i="5" s="1"/>
  <c r="W225" i="5"/>
  <c r="X225" i="5" s="1"/>
  <c r="W99" i="5"/>
  <c r="X99" i="5" s="1"/>
  <c r="W500" i="5"/>
  <c r="X500" i="5" s="1"/>
  <c r="W247" i="5"/>
  <c r="Y247" i="5" s="1"/>
  <c r="W532" i="5"/>
  <c r="Y532" i="5" s="1"/>
  <c r="W92" i="5"/>
  <c r="X92" i="5" s="1"/>
  <c r="W229" i="5"/>
  <c r="Y229" i="5" s="1"/>
  <c r="W123" i="5"/>
  <c r="Y123" i="5" s="1"/>
  <c r="W457" i="5"/>
  <c r="Y457" i="5" s="1"/>
  <c r="W359" i="5"/>
  <c r="X359" i="5" s="1"/>
  <c r="W350" i="5"/>
  <c r="X350" i="5" s="1"/>
  <c r="W52" i="5"/>
  <c r="Y52" i="5" s="1"/>
  <c r="W349" i="5"/>
  <c r="Y349" i="5" s="1"/>
  <c r="W487" i="5"/>
  <c r="X487" i="5" s="1"/>
  <c r="W466" i="5"/>
  <c r="Y466" i="5" s="1"/>
  <c r="W469" i="5"/>
  <c r="X469" i="5" s="1"/>
  <c r="W94" i="5"/>
  <c r="Y94" i="5" s="1"/>
  <c r="W173" i="5"/>
  <c r="X173" i="5" s="1"/>
  <c r="W219" i="5"/>
  <c r="X219" i="5" s="1"/>
  <c r="W23" i="5"/>
  <c r="Y23" i="5" s="1"/>
  <c r="W169" i="5"/>
  <c r="X169" i="5" s="1"/>
  <c r="W279" i="5"/>
  <c r="X279" i="5" s="1"/>
  <c r="W486" i="5"/>
  <c r="X486" i="5" s="1"/>
  <c r="W19" i="5"/>
  <c r="Y19" i="5" s="1"/>
  <c r="W419" i="5"/>
  <c r="X419" i="5" s="1"/>
  <c r="W61" i="5"/>
  <c r="Y61" i="5" s="1"/>
  <c r="W90" i="5"/>
  <c r="X90" i="5" s="1"/>
  <c r="W426" i="5"/>
  <c r="Y426" i="5" s="1"/>
  <c r="W417" i="5"/>
  <c r="X417" i="5" s="1"/>
  <c r="W252" i="5"/>
  <c r="X252" i="5" s="1"/>
  <c r="W462" i="5"/>
  <c r="Y462" i="5" s="1"/>
  <c r="W211" i="5"/>
  <c r="X211" i="5" s="1"/>
  <c r="W162" i="5"/>
  <c r="X162" i="5" s="1"/>
  <c r="W205" i="5"/>
  <c r="W548" i="5"/>
  <c r="Y548" i="5" s="1"/>
  <c r="W147" i="5"/>
  <c r="W388" i="5"/>
  <c r="Y388" i="5" s="1"/>
  <c r="W249" i="5"/>
  <c r="Y249" i="5" s="1"/>
  <c r="W397" i="5"/>
  <c r="X397" i="5" s="1"/>
  <c r="W556" i="5"/>
  <c r="X556" i="5" s="1"/>
  <c r="W527" i="5"/>
  <c r="X527" i="5" s="1"/>
  <c r="W152" i="5"/>
  <c r="X152" i="5" s="1"/>
  <c r="W280" i="5"/>
  <c r="Y280" i="5" s="1"/>
  <c r="W488" i="5"/>
  <c r="Y488" i="5" s="1"/>
  <c r="W512" i="5"/>
  <c r="Y512" i="5" s="1"/>
  <c r="W360" i="5"/>
  <c r="X360" i="5" s="1"/>
  <c r="W416" i="5"/>
  <c r="X416" i="5" s="1"/>
  <c r="W240" i="5"/>
  <c r="Y240" i="5" s="1"/>
  <c r="W304" i="5"/>
  <c r="Y304" i="5" s="1"/>
  <c r="W8" i="5"/>
  <c r="X8" i="5" s="1"/>
  <c r="W317" i="5"/>
  <c r="X317" i="5" s="1"/>
  <c r="W30" i="5"/>
  <c r="X30" i="5" s="1"/>
  <c r="W277" i="5"/>
  <c r="X277" i="5" s="1"/>
  <c r="W385" i="5"/>
  <c r="X385" i="5" s="1"/>
  <c r="W150" i="5"/>
  <c r="X150" i="5" s="1"/>
  <c r="W250" i="5"/>
  <c r="X250" i="5" s="1"/>
  <c r="W142" i="5"/>
  <c r="X142" i="5" s="1"/>
  <c r="W182" i="5"/>
  <c r="X182" i="5" s="1"/>
  <c r="W133" i="5"/>
  <c r="Y133" i="5" s="1"/>
  <c r="W151" i="5"/>
  <c r="Y151" i="5" s="1"/>
  <c r="W519" i="5"/>
  <c r="Y519" i="5" s="1"/>
  <c r="W477" i="5"/>
  <c r="Y477" i="5" s="1"/>
  <c r="W171" i="5"/>
  <c r="W398" i="5"/>
  <c r="Y398" i="5" s="1"/>
  <c r="W489" i="5"/>
  <c r="W124" i="5"/>
  <c r="Y124" i="5" s="1"/>
  <c r="W485" i="5"/>
  <c r="X485" i="5" s="1"/>
  <c r="W541" i="5"/>
  <c r="Y541" i="5" s="1"/>
  <c r="W137" i="5"/>
  <c r="Y137" i="5" s="1"/>
  <c r="W354" i="5"/>
  <c r="Y354" i="5" s="1"/>
  <c r="W447" i="5"/>
  <c r="Y447" i="5" s="1"/>
  <c r="W295" i="5"/>
  <c r="Y295" i="5" s="1"/>
  <c r="W325" i="5"/>
  <c r="W33" i="5"/>
  <c r="X33" i="5" s="1"/>
  <c r="W357" i="5"/>
  <c r="X357" i="5" s="1"/>
  <c r="W380" i="5"/>
  <c r="X380" i="5" s="1"/>
  <c r="W85" i="5"/>
  <c r="Y85" i="5" s="1"/>
  <c r="W369" i="5"/>
  <c r="X369" i="5" s="1"/>
  <c r="W524" i="5"/>
  <c r="X524" i="5" s="1"/>
  <c r="W127" i="5"/>
  <c r="W180" i="5"/>
  <c r="X180" i="5" s="1"/>
  <c r="W547" i="5"/>
  <c r="W22" i="5"/>
  <c r="X22" i="5" s="1"/>
  <c r="W209" i="5"/>
  <c r="X209" i="5" s="1"/>
  <c r="W223" i="5"/>
  <c r="Y223" i="5" s="1"/>
  <c r="W558" i="5"/>
  <c r="X558" i="5" s="1"/>
  <c r="W316" i="5"/>
  <c r="Y316" i="5" s="1"/>
  <c r="W413" i="5"/>
  <c r="Y413" i="5" s="1"/>
  <c r="W57" i="5"/>
  <c r="X57" i="5" s="1"/>
  <c r="W421" i="5"/>
  <c r="X421" i="5" s="1"/>
  <c r="W463" i="5"/>
  <c r="X463" i="5" s="1"/>
  <c r="W540" i="5"/>
  <c r="Y540" i="5" s="1"/>
  <c r="W353" i="5"/>
  <c r="X353" i="5" s="1"/>
  <c r="W337" i="5"/>
  <c r="X337" i="5" s="1"/>
  <c r="W157" i="5"/>
  <c r="X157" i="5" s="1"/>
  <c r="W156" i="5"/>
  <c r="Y156" i="5" s="1"/>
  <c r="W437" i="5"/>
  <c r="X437" i="5" s="1"/>
  <c r="W31" i="5"/>
  <c r="Y31" i="5" s="1"/>
  <c r="W452" i="5"/>
  <c r="W234" i="5"/>
  <c r="Y234" i="5" s="1"/>
  <c r="W266" i="5"/>
  <c r="W370" i="5"/>
  <c r="W230" i="5"/>
  <c r="U69" i="4"/>
  <c r="AQ134" i="4"/>
  <c r="W383" i="5"/>
  <c r="X383" i="5" s="1"/>
  <c r="O9" i="5"/>
  <c r="W533" i="5"/>
  <c r="Y533" i="5" s="1"/>
  <c r="W395" i="5"/>
  <c r="Y395" i="5" s="1"/>
  <c r="W199" i="5"/>
  <c r="X199" i="5" s="1"/>
  <c r="W215" i="5"/>
  <c r="Y215" i="5" s="1"/>
  <c r="W493" i="5"/>
  <c r="X493" i="5" s="1"/>
  <c r="W116" i="5"/>
  <c r="X116" i="5" s="1"/>
  <c r="W315" i="5"/>
  <c r="W345" i="5"/>
  <c r="W404" i="5"/>
  <c r="W499" i="5"/>
  <c r="AQ141" i="4"/>
  <c r="W363" i="5"/>
  <c r="W364" i="5"/>
  <c r="X364" i="5" s="1"/>
  <c r="W545" i="5"/>
  <c r="X545" i="5" s="1"/>
  <c r="W194" i="5"/>
  <c r="Y194" i="5" s="1"/>
  <c r="W131" i="5"/>
  <c r="X131" i="5" s="1"/>
  <c r="W188" i="5"/>
  <c r="X188" i="5" s="1"/>
  <c r="W555" i="5"/>
  <c r="X555" i="5" s="1"/>
  <c r="W41" i="5"/>
  <c r="X41" i="5" s="1"/>
  <c r="W202" i="5"/>
  <c r="Y202" i="5" s="1"/>
  <c r="W502" i="5"/>
  <c r="X502" i="5" s="1"/>
  <c r="W455" i="5"/>
  <c r="Y455" i="5" s="1"/>
  <c r="W514" i="5"/>
  <c r="X514" i="5" s="1"/>
  <c r="W495" i="5"/>
  <c r="Y495" i="5" s="1"/>
  <c r="W484" i="5"/>
  <c r="X484" i="5" s="1"/>
  <c r="W138" i="5"/>
  <c r="Y138" i="5" s="1"/>
  <c r="W155" i="5"/>
  <c r="Y155" i="5" s="1"/>
  <c r="W513" i="5"/>
  <c r="X513" i="5" s="1"/>
  <c r="W550" i="5"/>
  <c r="Y550" i="5" s="1"/>
  <c r="W87" i="5"/>
  <c r="X87" i="5" s="1"/>
  <c r="W482" i="5"/>
  <c r="Y482" i="5" s="1"/>
  <c r="W335" i="5"/>
  <c r="Y335" i="5" s="1"/>
  <c r="W427" i="5"/>
  <c r="V96" i="4"/>
  <c r="AM96" i="4" s="1"/>
  <c r="AN96" i="4" s="1"/>
  <c r="AQ73" i="4"/>
  <c r="W420" i="5"/>
  <c r="Y420" i="5" s="1"/>
  <c r="W203" i="5"/>
  <c r="Y203" i="5" s="1"/>
  <c r="W434" i="5"/>
  <c r="Y434" i="5" s="1"/>
  <c r="W339" i="5"/>
  <c r="X339" i="5" s="1"/>
  <c r="W83" i="5"/>
  <c r="X83" i="5" s="1"/>
  <c r="W146" i="5"/>
  <c r="Y146" i="5" s="1"/>
  <c r="W529" i="5"/>
  <c r="X529" i="5" s="1"/>
  <c r="W284" i="5"/>
  <c r="X284" i="5" s="1"/>
  <c r="W186" i="5"/>
  <c r="X186" i="5" s="1"/>
  <c r="W516" i="5"/>
  <c r="Y516" i="5" s="1"/>
  <c r="W103" i="5"/>
  <c r="W73" i="5"/>
  <c r="Y73" i="5" s="1"/>
  <c r="V143" i="4"/>
  <c r="W509" i="5"/>
  <c r="Y509" i="5" s="1"/>
  <c r="W227" i="5"/>
  <c r="Y227" i="5" s="1"/>
  <c r="W374" i="5"/>
  <c r="W42" i="5"/>
  <c r="X42" i="5" s="1"/>
  <c r="W70" i="5"/>
  <c r="X70" i="5" s="1"/>
  <c r="W418" i="5"/>
  <c r="X418" i="5" s="1"/>
  <c r="W217" i="5"/>
  <c r="X217" i="5" s="1"/>
  <c r="W446" i="5"/>
  <c r="X446" i="5" s="1"/>
  <c r="W470" i="5"/>
  <c r="Y470" i="5" s="1"/>
  <c r="W379" i="5"/>
  <c r="X379" i="5" s="1"/>
  <c r="W118" i="5"/>
  <c r="K36" i="5"/>
  <c r="K37" i="5" s="1"/>
  <c r="Q47" i="5"/>
  <c r="Q25" i="5"/>
  <c r="Q50" i="5"/>
  <c r="Q54" i="5"/>
  <c r="Q68" i="5"/>
  <c r="Q73" i="5"/>
  <c r="Q86" i="5"/>
  <c r="Q44" i="5"/>
  <c r="Q108" i="5"/>
  <c r="Q137" i="5"/>
  <c r="Q100" i="5"/>
  <c r="Q157" i="5"/>
  <c r="Q124" i="5"/>
  <c r="Q150" i="5"/>
  <c r="Q174" i="5"/>
  <c r="Q175" i="5"/>
  <c r="Q178" i="5"/>
  <c r="Q199" i="5"/>
  <c r="Q107" i="5"/>
  <c r="Q221" i="5"/>
  <c r="Q195" i="5"/>
  <c r="Q226" i="5"/>
  <c r="Q203" i="5"/>
  <c r="Q284" i="5"/>
  <c r="Q323" i="5"/>
  <c r="Q229" i="5"/>
  <c r="Q285" i="5"/>
  <c r="Q310" i="5"/>
  <c r="Q220" i="5"/>
  <c r="Q274" i="5"/>
  <c r="Q297" i="5"/>
  <c r="Q341" i="5"/>
  <c r="Q289" i="5"/>
  <c r="Q372" i="5"/>
  <c r="Q407" i="5"/>
  <c r="Q439" i="5"/>
  <c r="Q308" i="5"/>
  <c r="Q363" i="5"/>
  <c r="Q402" i="5"/>
  <c r="Q327" i="5"/>
  <c r="Q377" i="5"/>
  <c r="Q412" i="5"/>
  <c r="Q387" i="5"/>
  <c r="Q462" i="5"/>
  <c r="Q485" i="5"/>
  <c r="Q523" i="5"/>
  <c r="Q369" i="5"/>
  <c r="Q446" i="5"/>
  <c r="Q486" i="5"/>
  <c r="Q510" i="5"/>
  <c r="Q444" i="5"/>
  <c r="Q494" i="5"/>
  <c r="Q535" i="5"/>
  <c r="Q553" i="5"/>
  <c r="Q498" i="5"/>
  <c r="Q550" i="5"/>
  <c r="Q558" i="5"/>
  <c r="Q544" i="5"/>
  <c r="Q516" i="5"/>
  <c r="Q49" i="5"/>
  <c r="Q29" i="5"/>
  <c r="Q52" i="5"/>
  <c r="Q55" i="5"/>
  <c r="Q69" i="5"/>
  <c r="Q71" i="5"/>
  <c r="Q95" i="5"/>
  <c r="Q82" i="5"/>
  <c r="Q116" i="5"/>
  <c r="Q142" i="5"/>
  <c r="Q114" i="5"/>
  <c r="Q159" i="5"/>
  <c r="Q126" i="5"/>
  <c r="Q155" i="5"/>
  <c r="Q188" i="5"/>
  <c r="Q179" i="5"/>
  <c r="Q182" i="5"/>
  <c r="Q201" i="5"/>
  <c r="Q177" i="5"/>
  <c r="Q225" i="5"/>
  <c r="Q204" i="5"/>
  <c r="Q231" i="5"/>
  <c r="Q213" i="5"/>
  <c r="Q291" i="5"/>
  <c r="Q325" i="5"/>
  <c r="Q247" i="5"/>
  <c r="Q290" i="5"/>
  <c r="Q321" i="5"/>
  <c r="Q223" i="5"/>
  <c r="Q275" i="5"/>
  <c r="Q309" i="5"/>
  <c r="Q346" i="5"/>
  <c r="Q295" i="5"/>
  <c r="Q375" i="5"/>
  <c r="Q409" i="5"/>
  <c r="Q441" i="5"/>
  <c r="Q314" i="5"/>
  <c r="Q365" i="5"/>
  <c r="Q404" i="5"/>
  <c r="Q338" i="5"/>
  <c r="Q394" i="5"/>
  <c r="Q415" i="5"/>
  <c r="Q390" i="5"/>
  <c r="Q463" i="5"/>
  <c r="Q500" i="5"/>
  <c r="Q524" i="5"/>
  <c r="Q410" i="5"/>
  <c r="Q452" i="5"/>
  <c r="Q487" i="5"/>
  <c r="Q514" i="5"/>
  <c r="Q445" i="5"/>
  <c r="Q497" i="5"/>
  <c r="Q536" i="5"/>
  <c r="Q559" i="5"/>
  <c r="Q508" i="5"/>
  <c r="Q364" i="5"/>
  <c r="Q560" i="5"/>
  <c r="Q556" i="5"/>
  <c r="Q531" i="5"/>
  <c r="Q21" i="5"/>
  <c r="Q20" i="5"/>
  <c r="Q30" i="5"/>
  <c r="Q27" i="5"/>
  <c r="Q58" i="5"/>
  <c r="Q65" i="5"/>
  <c r="Q75" i="5"/>
  <c r="Q85" i="5"/>
  <c r="Q94" i="5"/>
  <c r="Q117" i="5"/>
  <c r="Q151" i="5"/>
  <c r="Q125" i="5"/>
  <c r="Q83" i="5"/>
  <c r="Q127" i="5"/>
  <c r="Q156" i="5"/>
  <c r="Q130" i="5"/>
  <c r="Q180" i="5"/>
  <c r="Q202" i="5"/>
  <c r="Q235" i="5"/>
  <c r="Q186" i="5"/>
  <c r="Q228" i="5"/>
  <c r="Q205" i="5"/>
  <c r="Q234" i="5"/>
  <c r="Q227" i="5"/>
  <c r="Q292" i="5"/>
  <c r="Q331" i="5"/>
  <c r="Q253" i="5"/>
  <c r="Q293" i="5"/>
  <c r="Q326" i="5"/>
  <c r="Q239" i="5"/>
  <c r="Q277" i="5"/>
  <c r="Q315" i="5"/>
  <c r="Q348" i="5"/>
  <c r="Q306" i="5"/>
  <c r="Q380" i="5"/>
  <c r="Q411" i="5"/>
  <c r="Q442" i="5"/>
  <c r="Q340" i="5"/>
  <c r="Q373" i="5"/>
  <c r="Q413" i="5"/>
  <c r="Q347" i="5"/>
  <c r="Q395" i="5"/>
  <c r="Q421" i="5"/>
  <c r="Q393" i="5"/>
  <c r="Q468" i="5"/>
  <c r="Q501" i="5"/>
  <c r="Q527" i="5"/>
  <c r="Q420" i="5"/>
  <c r="Q457" i="5"/>
  <c r="Q489" i="5"/>
  <c r="Q520" i="5"/>
  <c r="Q449" i="5"/>
  <c r="Q502" i="5"/>
  <c r="Q537" i="5"/>
  <c r="Q268" i="5"/>
  <c r="Q515" i="5"/>
  <c r="Q430" i="5"/>
  <c r="Q557" i="5"/>
  <c r="Q403" i="5"/>
  <c r="Q539" i="5"/>
  <c r="Q26" i="5"/>
  <c r="Q22" i="5"/>
  <c r="Q33" i="5"/>
  <c r="Q51" i="5"/>
  <c r="Q60" i="5"/>
  <c r="Q70" i="5"/>
  <c r="Q77" i="5"/>
  <c r="Q87" i="5"/>
  <c r="Q103" i="5"/>
  <c r="Q119" i="5"/>
  <c r="Q153" i="5"/>
  <c r="Q138" i="5"/>
  <c r="Q102" i="5"/>
  <c r="Q129" i="5"/>
  <c r="Q92" i="5"/>
  <c r="Q145" i="5"/>
  <c r="Q183" i="5"/>
  <c r="Q207" i="5"/>
  <c r="Q236" i="5"/>
  <c r="Q189" i="5"/>
  <c r="Q230" i="5"/>
  <c r="Q206" i="5"/>
  <c r="Q237" i="5"/>
  <c r="Q246" i="5"/>
  <c r="Q299" i="5"/>
  <c r="Q333" i="5"/>
  <c r="Q255" i="5"/>
  <c r="Q298" i="5"/>
  <c r="Q330" i="5"/>
  <c r="Q243" i="5"/>
  <c r="Q278" i="5"/>
  <c r="Q317" i="5"/>
  <c r="Q350" i="5"/>
  <c r="Q332" i="5"/>
  <c r="Q385" i="5"/>
  <c r="Q418" i="5"/>
  <c r="Q245" i="5"/>
  <c r="Q343" i="5"/>
  <c r="Q379" i="5"/>
  <c r="Q414" i="5"/>
  <c r="Q351" i="5"/>
  <c r="Q397" i="5"/>
  <c r="Q318" i="5"/>
  <c r="Q433" i="5"/>
  <c r="Q471" i="5"/>
  <c r="Q503" i="5"/>
  <c r="Q252" i="5"/>
  <c r="Q422" i="5"/>
  <c r="Q467" i="5"/>
  <c r="Q490" i="5"/>
  <c r="Q197" i="5"/>
  <c r="Q450" i="5"/>
  <c r="Q509" i="5"/>
  <c r="Q541" i="5"/>
  <c r="Q447" i="5"/>
  <c r="Q532" i="5"/>
  <c r="Q443" i="5"/>
  <c r="Q459" i="5"/>
  <c r="Q427" i="5"/>
  <c r="Q540" i="5"/>
  <c r="Q31" i="5"/>
  <c r="Q23" i="5"/>
  <c r="Q35" i="5"/>
  <c r="Q59" i="5"/>
  <c r="Q63" i="5"/>
  <c r="Q74" i="5"/>
  <c r="Q79" i="5"/>
  <c r="Q90" i="5"/>
  <c r="Q106" i="5"/>
  <c r="Q123" i="5"/>
  <c r="Q154" i="5"/>
  <c r="Q140" i="5"/>
  <c r="Q105" i="5"/>
  <c r="Q134" i="5"/>
  <c r="Q115" i="5"/>
  <c r="Q161" i="5"/>
  <c r="Q185" i="5"/>
  <c r="Q181" i="5"/>
  <c r="Q238" i="5"/>
  <c r="Q191" i="5"/>
  <c r="Q233" i="5"/>
  <c r="Q209" i="5"/>
  <c r="Q242" i="5"/>
  <c r="Q258" i="5"/>
  <c r="Q302" i="5"/>
  <c r="Q196" i="5"/>
  <c r="Q259" i="5"/>
  <c r="Q300" i="5"/>
  <c r="Q141" i="5"/>
  <c r="Q260" i="5"/>
  <c r="Q283" i="5"/>
  <c r="Q319" i="5"/>
  <c r="Q357" i="5"/>
  <c r="Q334" i="5"/>
  <c r="Q386" i="5"/>
  <c r="Q423" i="5"/>
  <c r="Q249" i="5"/>
  <c r="Q349" i="5"/>
  <c r="Q382" i="5"/>
  <c r="Q417" i="5"/>
  <c r="Q358" i="5"/>
  <c r="Q398" i="5"/>
  <c r="Q359" i="5"/>
  <c r="Q453" i="5"/>
  <c r="Q473" i="5"/>
  <c r="Q511" i="5"/>
  <c r="Q301" i="5"/>
  <c r="Q425" i="5"/>
  <c r="Q469" i="5"/>
  <c r="Q492" i="5"/>
  <c r="Q342" i="5"/>
  <c r="Q465" i="5"/>
  <c r="Q518" i="5"/>
  <c r="Q542" i="5"/>
  <c r="Q451" i="5"/>
  <c r="Q547" i="5"/>
  <c r="Q460" i="5"/>
  <c r="Q466" i="5"/>
  <c r="Q429" i="5"/>
  <c r="Q19" i="5"/>
  <c r="Q42" i="5"/>
  <c r="Q36" i="5"/>
  <c r="Q41" i="5"/>
  <c r="Q67" i="5"/>
  <c r="Q57" i="5"/>
  <c r="Q81" i="5"/>
  <c r="Q91" i="5"/>
  <c r="Q110" i="5"/>
  <c r="Q89" i="5"/>
  <c r="Q133" i="5"/>
  <c r="Q53" i="5"/>
  <c r="Q146" i="5"/>
  <c r="Q118" i="5"/>
  <c r="Q147" i="5"/>
  <c r="Q163" i="5"/>
  <c r="Q166" i="5"/>
  <c r="Q164" i="5"/>
  <c r="Q193" i="5"/>
  <c r="Q250" i="5"/>
  <c r="Q210" i="5"/>
  <c r="Q165" i="5"/>
  <c r="Q217" i="5"/>
  <c r="Q101" i="5"/>
  <c r="Q269" i="5"/>
  <c r="Q313" i="5"/>
  <c r="Q215" i="5"/>
  <c r="Q271" i="5"/>
  <c r="Q305" i="5"/>
  <c r="Q173" i="5"/>
  <c r="Q265" i="5"/>
  <c r="Q287" i="5"/>
  <c r="Q329" i="5"/>
  <c r="Q257" i="5"/>
  <c r="Q356" i="5"/>
  <c r="Q391" i="5"/>
  <c r="Q431" i="5"/>
  <c r="Q279" i="5"/>
  <c r="Q354" i="5"/>
  <c r="Q388" i="5"/>
  <c r="Q263" i="5"/>
  <c r="Q370" i="5"/>
  <c r="Q405" i="5"/>
  <c r="Q378" i="5"/>
  <c r="Q455" i="5"/>
  <c r="Q475" i="5"/>
  <c r="Q519" i="5"/>
  <c r="Q337" i="5"/>
  <c r="Q435" i="5"/>
  <c r="Q477" i="5"/>
  <c r="Q495" i="5"/>
  <c r="Q426" i="5"/>
  <c r="Q479" i="5"/>
  <c r="Q529" i="5"/>
  <c r="Q545" i="5"/>
  <c r="Q481" i="5"/>
  <c r="Q552" i="5"/>
  <c r="Q522" i="5"/>
  <c r="Q525" i="5"/>
  <c r="Q499" i="5"/>
  <c r="O11" i="5"/>
  <c r="Q45" i="5"/>
  <c r="Q43" i="5"/>
  <c r="Q46" i="5"/>
  <c r="Q38" i="5"/>
  <c r="Q61" i="5"/>
  <c r="Q28" i="5"/>
  <c r="Q76" i="5"/>
  <c r="Q111" i="5"/>
  <c r="Q99" i="5"/>
  <c r="Q135" i="5"/>
  <c r="Q98" i="5"/>
  <c r="Q149" i="5"/>
  <c r="Q121" i="5"/>
  <c r="Q148" i="5"/>
  <c r="Q169" i="5"/>
  <c r="Q172" i="5"/>
  <c r="Q170" i="5"/>
  <c r="Q198" i="5"/>
  <c r="Q251" i="5"/>
  <c r="Q219" i="5"/>
  <c r="Q171" i="5"/>
  <c r="Q222" i="5"/>
  <c r="Q187" i="5"/>
  <c r="Q276" i="5"/>
  <c r="Q316" i="5"/>
  <c r="Q218" i="5"/>
  <c r="Q281" i="5"/>
  <c r="Q307" i="5"/>
  <c r="Q211" i="5"/>
  <c r="Q267" i="5"/>
  <c r="Q294" i="5"/>
  <c r="Q339" i="5"/>
  <c r="Q273" i="5"/>
  <c r="Q371" i="5"/>
  <c r="Q396" i="5"/>
  <c r="Q438" i="5"/>
  <c r="Q282" i="5"/>
  <c r="Q361" i="5"/>
  <c r="Q399" i="5"/>
  <c r="Q322" i="5"/>
  <c r="Q374" i="5"/>
  <c r="Q406" i="5"/>
  <c r="Q381" i="5"/>
  <c r="Q461" i="5"/>
  <c r="Q483" i="5"/>
  <c r="Q521" i="5"/>
  <c r="Q345" i="5"/>
  <c r="Q436" i="5"/>
  <c r="Q482" i="5"/>
  <c r="Q506" i="5"/>
  <c r="Q437" i="5"/>
  <c r="Q484" i="5"/>
  <c r="Q530" i="5"/>
  <c r="Q548" i="5"/>
  <c r="Q491" i="5"/>
  <c r="Q555" i="5"/>
  <c r="Q549" i="5"/>
  <c r="Q533" i="5"/>
  <c r="Q505" i="5"/>
  <c r="Q93" i="5"/>
  <c r="Q162" i="5"/>
  <c r="Q266" i="5"/>
  <c r="Q324" i="5"/>
  <c r="Q419" i="5"/>
  <c r="Q434" i="5"/>
  <c r="Q551" i="5"/>
  <c r="Q39" i="5"/>
  <c r="Q109" i="5"/>
  <c r="Q132" i="5"/>
  <c r="Q311" i="5"/>
  <c r="Q254" i="5"/>
  <c r="Q367" i="5"/>
  <c r="Q470" i="5"/>
  <c r="Q507" i="5"/>
  <c r="Q34" i="5"/>
  <c r="Q131" i="5"/>
  <c r="Q190" i="5"/>
  <c r="Q212" i="5"/>
  <c r="Q355" i="5"/>
  <c r="Q401" i="5"/>
  <c r="Q493" i="5"/>
  <c r="Q513" i="5"/>
  <c r="Q37" i="5"/>
  <c r="Q158" i="5"/>
  <c r="Q241" i="5"/>
  <c r="Q261" i="5"/>
  <c r="Q389" i="5"/>
  <c r="Q366" i="5"/>
  <c r="Q362" i="5"/>
  <c r="Q458" i="5"/>
  <c r="Q78" i="5"/>
  <c r="Q139" i="5"/>
  <c r="Q214" i="5"/>
  <c r="Q262" i="5"/>
  <c r="Q353" i="5"/>
  <c r="Q517" i="5"/>
  <c r="Q543" i="5"/>
  <c r="Q84" i="5"/>
  <c r="Q122" i="5"/>
  <c r="Q244" i="5"/>
  <c r="Q286" i="5"/>
  <c r="Q383" i="5"/>
  <c r="Q335" i="5"/>
  <c r="Q478" i="5"/>
  <c r="Q167" i="5"/>
  <c r="Q62" i="5"/>
  <c r="Q428" i="5"/>
  <c r="Q66" i="5"/>
  <c r="Q270" i="5"/>
  <c r="Q474" i="5"/>
  <c r="Q143" i="5"/>
  <c r="Q454" i="5"/>
  <c r="Q113" i="5"/>
  <c r="Q97" i="5"/>
  <c r="Q528" i="5"/>
  <c r="Q303" i="5"/>
  <c r="Q194" i="5"/>
  <c r="Q476" i="5"/>
  <c r="B37" i="5"/>
  <c r="AN272" i="5"/>
  <c r="AO272" i="5"/>
  <c r="U64" i="5"/>
  <c r="V64" i="5"/>
  <c r="AM193" i="5"/>
  <c r="U64" i="4"/>
  <c r="AS64" i="4"/>
  <c r="V64" i="4"/>
  <c r="AM59" i="5"/>
  <c r="T554" i="5"/>
  <c r="T546" i="5"/>
  <c r="T432" i="5"/>
  <c r="T448" i="5"/>
  <c r="T408" i="5"/>
  <c r="T280" i="5"/>
  <c r="T296" i="5"/>
  <c r="AM104" i="5"/>
  <c r="AH361" i="5"/>
  <c r="AM379" i="5"/>
  <c r="AM307" i="5"/>
  <c r="AM91" i="5"/>
  <c r="AM292" i="5"/>
  <c r="AM20" i="5"/>
  <c r="T38" i="5"/>
  <c r="T34" i="5"/>
  <c r="T70" i="5"/>
  <c r="T55" i="5"/>
  <c r="T89" i="5"/>
  <c r="T105" i="5"/>
  <c r="T87" i="5"/>
  <c r="T84" i="5"/>
  <c r="T43" i="5"/>
  <c r="T33" i="5"/>
  <c r="T66" i="5"/>
  <c r="T25" i="5"/>
  <c r="T83" i="5"/>
  <c r="T121" i="5"/>
  <c r="T26" i="5"/>
  <c r="T47" i="5"/>
  <c r="T27" i="5"/>
  <c r="T41" i="5"/>
  <c r="T94" i="5"/>
  <c r="T117" i="5"/>
  <c r="T52" i="5"/>
  <c r="T59" i="5"/>
  <c r="T74" i="5"/>
  <c r="T98" i="5"/>
  <c r="T91" i="5"/>
  <c r="T139" i="5"/>
  <c r="T39" i="5"/>
  <c r="T35" i="5"/>
  <c r="T95" i="5"/>
  <c r="T155" i="5"/>
  <c r="T151" i="5"/>
  <c r="T187" i="5"/>
  <c r="T154" i="5"/>
  <c r="T201" i="5"/>
  <c r="T211" i="5"/>
  <c r="T159" i="5"/>
  <c r="T243" i="5"/>
  <c r="T225" i="5"/>
  <c r="T249" i="5"/>
  <c r="T274" i="5"/>
  <c r="T318" i="5"/>
  <c r="T250" i="5"/>
  <c r="T292" i="5"/>
  <c r="T259" i="5"/>
  <c r="T290" i="5"/>
  <c r="T310" i="5"/>
  <c r="T354" i="5"/>
  <c r="T362" i="5"/>
  <c r="T393" i="5"/>
  <c r="T317" i="5"/>
  <c r="T385" i="5"/>
  <c r="T162" i="5"/>
  <c r="T340" i="5"/>
  <c r="T379" i="5"/>
  <c r="T451" i="5"/>
  <c r="T494" i="5"/>
  <c r="T525" i="5"/>
  <c r="T431" i="5"/>
  <c r="T517" i="5"/>
  <c r="T374" i="5"/>
  <c r="T425" i="5"/>
  <c r="T461" i="5"/>
  <c r="T487" i="5"/>
  <c r="T531" i="5"/>
  <c r="T346" i="5"/>
  <c r="T22" i="5"/>
  <c r="T63" i="5"/>
  <c r="T107" i="5"/>
  <c r="T106" i="5"/>
  <c r="T156" i="5"/>
  <c r="T125" i="5"/>
  <c r="T118" i="5"/>
  <c r="T161" i="5"/>
  <c r="T204" i="5"/>
  <c r="T215" i="5"/>
  <c r="T166" i="5"/>
  <c r="T174" i="5"/>
  <c r="T230" i="5"/>
  <c r="T252" i="5"/>
  <c r="T279" i="5"/>
  <c r="T322" i="5"/>
  <c r="T251" i="5"/>
  <c r="T299" i="5"/>
  <c r="T331" i="5"/>
  <c r="T261" i="5"/>
  <c r="T293" i="5"/>
  <c r="T356" i="5"/>
  <c r="T315" i="5"/>
  <c r="T364" i="5"/>
  <c r="T429" i="5"/>
  <c r="T341" i="5"/>
  <c r="T386" i="5"/>
  <c r="T195" i="5"/>
  <c r="T348" i="5"/>
  <c r="T382" i="5"/>
  <c r="T411" i="5"/>
  <c r="T428" i="5"/>
  <c r="T458" i="5"/>
  <c r="T499" i="5"/>
  <c r="T532" i="5"/>
  <c r="T438" i="5"/>
  <c r="T468" i="5"/>
  <c r="T498" i="5"/>
  <c r="T519" i="5"/>
  <c r="T377" i="5"/>
  <c r="T434" i="5"/>
  <c r="T463" i="5"/>
  <c r="T489" i="5"/>
  <c r="T540" i="5"/>
  <c r="T544" i="5"/>
  <c r="T514" i="5"/>
  <c r="T555" i="5"/>
  <c r="T549" i="5"/>
  <c r="T479" i="5"/>
  <c r="T36" i="5"/>
  <c r="T76" i="5"/>
  <c r="T85" i="5"/>
  <c r="T109" i="5"/>
  <c r="T114" i="5"/>
  <c r="T134" i="5"/>
  <c r="T133" i="5"/>
  <c r="T172" i="5"/>
  <c r="T206" i="5"/>
  <c r="T223" i="5"/>
  <c r="T199" i="5"/>
  <c r="T180" i="5"/>
  <c r="T233" i="5"/>
  <c r="T254" i="5"/>
  <c r="T282" i="5"/>
  <c r="T327" i="5"/>
  <c r="T258" i="5"/>
  <c r="T302" i="5"/>
  <c r="T321" i="5"/>
  <c r="T262" i="5"/>
  <c r="T329" i="5"/>
  <c r="T366" i="5"/>
  <c r="T403" i="5"/>
  <c r="T433" i="5"/>
  <c r="T369" i="5"/>
  <c r="T389" i="5"/>
  <c r="T228" i="5"/>
  <c r="T353" i="5"/>
  <c r="T383" i="5"/>
  <c r="T414" i="5"/>
  <c r="T430" i="5"/>
  <c r="T460" i="5"/>
  <c r="T505" i="5"/>
  <c r="T533" i="5"/>
  <c r="T442" i="5"/>
  <c r="T471" i="5"/>
  <c r="O10" i="5"/>
  <c r="AJ10" i="5" s="1"/>
  <c r="T53" i="5"/>
  <c r="T57" i="5"/>
  <c r="T101" i="5"/>
  <c r="T115" i="5"/>
  <c r="T149" i="5"/>
  <c r="T140" i="5"/>
  <c r="T183" i="5"/>
  <c r="T188" i="5"/>
  <c r="T212" i="5"/>
  <c r="T191" i="5"/>
  <c r="T235" i="5"/>
  <c r="T260" i="5"/>
  <c r="T289" i="5"/>
  <c r="T332" i="5"/>
  <c r="T266" i="5"/>
  <c r="T311" i="5"/>
  <c r="T226" i="5"/>
  <c r="T268" i="5"/>
  <c r="T298" i="5"/>
  <c r="T326" i="5"/>
  <c r="T267" i="5"/>
  <c r="T337" i="5"/>
  <c r="T367" i="5"/>
  <c r="T405" i="5"/>
  <c r="T436" i="5"/>
  <c r="T371" i="5"/>
  <c r="T391" i="5"/>
  <c r="T355" i="5"/>
  <c r="T388" i="5"/>
  <c r="T417" i="5"/>
  <c r="T466" i="5"/>
  <c r="T507" i="5"/>
  <c r="T537" i="5"/>
  <c r="T453" i="5"/>
  <c r="T474" i="5"/>
  <c r="T501" i="5"/>
  <c r="T522" i="5"/>
  <c r="T398" i="5"/>
  <c r="T439" i="5"/>
  <c r="T470" i="5"/>
  <c r="T493" i="5"/>
  <c r="T557" i="5"/>
  <c r="T465" i="5"/>
  <c r="T545" i="5"/>
  <c r="T406" i="5"/>
  <c r="T524" i="5"/>
  <c r="T559" i="5"/>
  <c r="T502" i="5"/>
  <c r="T61" i="5"/>
  <c r="T37" i="5"/>
  <c r="T123" i="5"/>
  <c r="T119" i="5"/>
  <c r="T171" i="5"/>
  <c r="T169" i="5"/>
  <c r="T185" i="5"/>
  <c r="T196" i="5"/>
  <c r="T227" i="5"/>
  <c r="T222" i="5"/>
  <c r="T236" i="5"/>
  <c r="T263" i="5"/>
  <c r="T295" i="5"/>
  <c r="T334" i="5"/>
  <c r="T276" i="5"/>
  <c r="T313" i="5"/>
  <c r="T231" i="5"/>
  <c r="T269" i="5"/>
  <c r="T300" i="5"/>
  <c r="T330" i="5"/>
  <c r="T342" i="5"/>
  <c r="T378" i="5"/>
  <c r="T410" i="5"/>
  <c r="T437" i="5"/>
  <c r="T372" i="5"/>
  <c r="T396" i="5"/>
  <c r="T275" i="5"/>
  <c r="T361" i="5"/>
  <c r="T287" i="5"/>
  <c r="T441" i="5"/>
  <c r="T508" i="5"/>
  <c r="T339" i="5"/>
  <c r="T454" i="5"/>
  <c r="T475" i="5"/>
  <c r="T503" i="5"/>
  <c r="T333" i="5"/>
  <c r="T401" i="5"/>
  <c r="T446" i="5"/>
  <c r="T473" i="5"/>
  <c r="T495" i="5"/>
  <c r="T560" i="5"/>
  <c r="T484" i="5"/>
  <c r="T412" i="5"/>
  <c r="T527" i="5"/>
  <c r="T449" i="5"/>
  <c r="T397" i="5"/>
  <c r="T509" i="5"/>
  <c r="T30" i="5"/>
  <c r="T92" i="5"/>
  <c r="T93" i="5"/>
  <c r="T131" i="5"/>
  <c r="T130" i="5"/>
  <c r="T173" i="5"/>
  <c r="T170" i="5"/>
  <c r="T186" i="5"/>
  <c r="T203" i="5"/>
  <c r="T239" i="5"/>
  <c r="T229" i="5"/>
  <c r="T207" i="5"/>
  <c r="T265" i="5"/>
  <c r="T301" i="5"/>
  <c r="T135" i="5"/>
  <c r="T284" i="5"/>
  <c r="T316" i="5"/>
  <c r="T246" i="5"/>
  <c r="T271" i="5"/>
  <c r="T303" i="5"/>
  <c r="T335" i="5"/>
  <c r="T283" i="5"/>
  <c r="T345" i="5"/>
  <c r="T381" i="5"/>
  <c r="T415" i="5"/>
  <c r="T214" i="5"/>
  <c r="T375" i="5"/>
  <c r="T407" i="5"/>
  <c r="T294" i="5"/>
  <c r="T363" i="5"/>
  <c r="T399" i="5"/>
  <c r="T324" i="5"/>
  <c r="T443" i="5"/>
  <c r="T478" i="5"/>
  <c r="T513" i="5"/>
  <c r="T347" i="5"/>
  <c r="T358" i="5"/>
  <c r="T413" i="5"/>
  <c r="T452" i="5"/>
  <c r="T477" i="5"/>
  <c r="T506" i="5"/>
  <c r="T529" i="5"/>
  <c r="T548" i="5"/>
  <c r="T426" i="5"/>
  <c r="T543" i="5"/>
  <c r="T528" i="5"/>
  <c r="T423" i="5"/>
  <c r="T520" i="5"/>
  <c r="T28" i="5"/>
  <c r="T50" i="5"/>
  <c r="T82" i="5"/>
  <c r="T126" i="5"/>
  <c r="T137" i="5"/>
  <c r="T138" i="5"/>
  <c r="T177" i="5"/>
  <c r="T79" i="5"/>
  <c r="T190" i="5"/>
  <c r="T205" i="5"/>
  <c r="T245" i="5"/>
  <c r="T210" i="5"/>
  <c r="T241" i="5"/>
  <c r="T270" i="5"/>
  <c r="T306" i="5"/>
  <c r="T237" i="5"/>
  <c r="T323" i="5"/>
  <c r="T253" i="5"/>
  <c r="T281" i="5"/>
  <c r="T305" i="5"/>
  <c r="T343" i="5"/>
  <c r="T286" i="5"/>
  <c r="T350" i="5"/>
  <c r="T387" i="5"/>
  <c r="T420" i="5"/>
  <c r="T247" i="5"/>
  <c r="T409" i="5"/>
  <c r="T319" i="5"/>
  <c r="T365" i="5"/>
  <c r="T402" i="5"/>
  <c r="T357" i="5"/>
  <c r="T447" i="5"/>
  <c r="T481" i="5"/>
  <c r="T515" i="5"/>
  <c r="T351" i="5"/>
  <c r="T459" i="5"/>
  <c r="T483" i="5"/>
  <c r="T511" i="5"/>
  <c r="T455" i="5"/>
  <c r="T482" i="5"/>
  <c r="T510" i="5"/>
  <c r="T338" i="5"/>
  <c r="T550" i="5"/>
  <c r="T450" i="5"/>
  <c r="T551" i="5"/>
  <c r="T530" i="5"/>
  <c r="T445" i="5"/>
  <c r="T523" i="5"/>
  <c r="T44" i="5"/>
  <c r="T194" i="5"/>
  <c r="T244" i="5"/>
  <c r="T359" i="5"/>
  <c r="T404" i="5"/>
  <c r="T500" i="5"/>
  <c r="T467" i="5"/>
  <c r="T539" i="5"/>
  <c r="T552" i="5"/>
  <c r="T67" i="5"/>
  <c r="T291" i="5"/>
  <c r="T390" i="5"/>
  <c r="T370" i="5"/>
  <c r="T486" i="5"/>
  <c r="T542" i="5"/>
  <c r="T553" i="5"/>
  <c r="T19" i="5"/>
  <c r="T69" i="5"/>
  <c r="T150" i="5"/>
  <c r="T325" i="5"/>
  <c r="T421" i="5"/>
  <c r="T521" i="5"/>
  <c r="T492" i="5"/>
  <c r="T419" i="5"/>
  <c r="T141" i="5"/>
  <c r="T242" i="5"/>
  <c r="T297" i="5"/>
  <c r="T491" i="5"/>
  <c r="T541" i="5"/>
  <c r="T535" i="5"/>
  <c r="T142" i="5"/>
  <c r="T221" i="5"/>
  <c r="T285" i="5"/>
  <c r="T380" i="5"/>
  <c r="T516" i="5"/>
  <c r="T395" i="5"/>
  <c r="T556" i="5"/>
  <c r="T394" i="5"/>
  <c r="T547" i="5"/>
  <c r="T146" i="5"/>
  <c r="T307" i="5"/>
  <c r="T418" i="5"/>
  <c r="T427" i="5"/>
  <c r="T422" i="5"/>
  <c r="T490" i="5"/>
  <c r="T558" i="5"/>
  <c r="T181" i="5"/>
  <c r="T273" i="5"/>
  <c r="T349" i="5"/>
  <c r="T462" i="5"/>
  <c r="T435" i="5"/>
  <c r="T444" i="5"/>
  <c r="T497" i="5"/>
  <c r="T469" i="5"/>
  <c r="T457" i="5"/>
  <c r="T536" i="5"/>
  <c r="T518" i="5"/>
  <c r="T100" i="5"/>
  <c r="T476" i="5"/>
  <c r="T314" i="5"/>
  <c r="T309" i="5"/>
  <c r="T373" i="5"/>
  <c r="T485" i="5"/>
  <c r="AM35" i="5"/>
  <c r="AM99" i="5"/>
  <c r="AM448" i="5"/>
  <c r="T464" i="5"/>
  <c r="T480" i="5"/>
  <c r="T328" i="5"/>
  <c r="T344" i="5"/>
  <c r="T376" i="5"/>
  <c r="T392" i="5"/>
  <c r="T248" i="5"/>
  <c r="T264" i="5"/>
  <c r="AM280" i="5"/>
  <c r="T160" i="5"/>
  <c r="T24" i="5"/>
  <c r="V176" i="5"/>
  <c r="AH40" i="5"/>
  <c r="AI40" i="5"/>
  <c r="AM387" i="5"/>
  <c r="AM123" i="5"/>
  <c r="AM107" i="5"/>
  <c r="AM300" i="5"/>
  <c r="AM177" i="5"/>
  <c r="AM57" i="5"/>
  <c r="AM464" i="5"/>
  <c r="AM480" i="5"/>
  <c r="T496" i="5"/>
  <c r="T512" i="5"/>
  <c r="T360" i="5"/>
  <c r="AM408" i="5"/>
  <c r="T224" i="5"/>
  <c r="AM248" i="5"/>
  <c r="AM120" i="5"/>
  <c r="AM184" i="5"/>
  <c r="T208" i="5"/>
  <c r="T88" i="5"/>
  <c r="AJ451" i="5"/>
  <c r="AL451" i="5" s="1"/>
  <c r="AJ465" i="5"/>
  <c r="AK465" i="5" s="1"/>
  <c r="AS91" i="4"/>
  <c r="AM308" i="5"/>
  <c r="AM121" i="5"/>
  <c r="AS127" i="4"/>
  <c r="T526" i="5"/>
  <c r="AM424" i="5"/>
  <c r="T440" i="5"/>
  <c r="AM344" i="5"/>
  <c r="AM376" i="5"/>
  <c r="T304" i="5"/>
  <c r="AM144" i="5"/>
  <c r="T32" i="5"/>
  <c r="T112" i="5"/>
  <c r="AI513" i="5"/>
  <c r="AH44" i="5"/>
  <c r="AI44" i="5"/>
  <c r="AS150" i="4"/>
  <c r="V150" i="4"/>
  <c r="U150" i="4"/>
  <c r="AS30" i="4"/>
  <c r="V71" i="4"/>
  <c r="T424" i="5"/>
  <c r="T456" i="5"/>
  <c r="T336" i="5"/>
  <c r="T400" i="5"/>
  <c r="T272" i="5"/>
  <c r="AM208" i="5"/>
  <c r="T56" i="5"/>
  <c r="AN39" i="5"/>
  <c r="AM535" i="5"/>
  <c r="AM337" i="5"/>
  <c r="AM257" i="5"/>
  <c r="AM153" i="5"/>
  <c r="AM227" i="5"/>
  <c r="AM203" i="5"/>
  <c r="AM236" i="5"/>
  <c r="AM148" i="5"/>
  <c r="AM60" i="5"/>
  <c r="U47" i="4"/>
  <c r="V19" i="4"/>
  <c r="AS19" i="4"/>
  <c r="U19" i="4"/>
  <c r="T538" i="5"/>
  <c r="AI424" i="5"/>
  <c r="AH424" i="5"/>
  <c r="AM440" i="5"/>
  <c r="T472" i="5"/>
  <c r="T504" i="5"/>
  <c r="AM336" i="5"/>
  <c r="T352" i="5"/>
  <c r="T368" i="5"/>
  <c r="T416" i="5"/>
  <c r="T232" i="5"/>
  <c r="T288" i="5"/>
  <c r="T192" i="5"/>
  <c r="T80" i="5"/>
  <c r="S96" i="5"/>
  <c r="R96" i="5"/>
  <c r="AS68" i="4"/>
  <c r="AS103" i="4"/>
  <c r="U103" i="4"/>
  <c r="V103" i="4"/>
  <c r="AS69" i="4"/>
  <c r="V69" i="4"/>
  <c r="AM36" i="5"/>
  <c r="AM67" i="5"/>
  <c r="AM75" i="5"/>
  <c r="AM74" i="5"/>
  <c r="AM100" i="5"/>
  <c r="AM124" i="5"/>
  <c r="AM166" i="5"/>
  <c r="AM201" i="5"/>
  <c r="AM196" i="5"/>
  <c r="AM215" i="5"/>
  <c r="AM291" i="5"/>
  <c r="AM317" i="5"/>
  <c r="AM295" i="5"/>
  <c r="AM357" i="5"/>
  <c r="AM411" i="5"/>
  <c r="AM22" i="5"/>
  <c r="AM21" i="5"/>
  <c r="AM102" i="5"/>
  <c r="AM117" i="5"/>
  <c r="AM170" i="5"/>
  <c r="AM165" i="5"/>
  <c r="AM214" i="5"/>
  <c r="AM237" i="5"/>
  <c r="AM303" i="5"/>
  <c r="AM321" i="5"/>
  <c r="AM309" i="5"/>
  <c r="AM218" i="5"/>
  <c r="AM414" i="5"/>
  <c r="AM375" i="5"/>
  <c r="AM461" i="5"/>
  <c r="AM381" i="5"/>
  <c r="AM545" i="5"/>
  <c r="AM553" i="5"/>
  <c r="AM541" i="5"/>
  <c r="AM37" i="5"/>
  <c r="AM52" i="5"/>
  <c r="AM76" i="5"/>
  <c r="AM86" i="5"/>
  <c r="AM101" i="5"/>
  <c r="AM180" i="5"/>
  <c r="AM190" i="5"/>
  <c r="AM217" i="5"/>
  <c r="AM191" i="5"/>
  <c r="AM323" i="5"/>
  <c r="AM188" i="5"/>
  <c r="AM310" i="5"/>
  <c r="AM316" i="5"/>
  <c r="AM428" i="5"/>
  <c r="AM377" i="5"/>
  <c r="AM333" i="5"/>
  <c r="AM515" i="5"/>
  <c r="AM468" i="5"/>
  <c r="AM405" i="5"/>
  <c r="AM489" i="5"/>
  <c r="AM229" i="5"/>
  <c r="AM558" i="5"/>
  <c r="AM542" i="5"/>
  <c r="AM30" i="5"/>
  <c r="AM63" i="5"/>
  <c r="AM77" i="5"/>
  <c r="AM94" i="5"/>
  <c r="AM126" i="5"/>
  <c r="AM134" i="5"/>
  <c r="AM213" i="5"/>
  <c r="AM226" i="5"/>
  <c r="AM327" i="5"/>
  <c r="AM241" i="5"/>
  <c r="AM315" i="5"/>
  <c r="AM319" i="5"/>
  <c r="AM386" i="5"/>
  <c r="AM531" i="5"/>
  <c r="AM470" i="5"/>
  <c r="AM441" i="5"/>
  <c r="AM494" i="5"/>
  <c r="AM297" i="5"/>
  <c r="AM559" i="5"/>
  <c r="AM44" i="5"/>
  <c r="AM55" i="5"/>
  <c r="AM84" i="5"/>
  <c r="AM138" i="5"/>
  <c r="AM143" i="5"/>
  <c r="AM242" i="5"/>
  <c r="AM246" i="5"/>
  <c r="AM247" i="5"/>
  <c r="AM329" i="5"/>
  <c r="AM250" i="5"/>
  <c r="AM399" i="5"/>
  <c r="AM342" i="5"/>
  <c r="AM401" i="5"/>
  <c r="AM382" i="5"/>
  <c r="AM443" i="5"/>
  <c r="AM502" i="5"/>
  <c r="AM425" i="5"/>
  <c r="AM524" i="5"/>
  <c r="AM46" i="5"/>
  <c r="AM54" i="5"/>
  <c r="AM146" i="5"/>
  <c r="AM158" i="5"/>
  <c r="AM230" i="5"/>
  <c r="AM244" i="5"/>
  <c r="AM266" i="5"/>
  <c r="AM269" i="5"/>
  <c r="AM255" i="5"/>
  <c r="AM330" i="5"/>
  <c r="AM373" i="5"/>
  <c r="AM277" i="5"/>
  <c r="AM402" i="5"/>
  <c r="AM364" i="5"/>
  <c r="AM452" i="5"/>
  <c r="AM391" i="5"/>
  <c r="AM507" i="5"/>
  <c r="AM453" i="5"/>
  <c r="AM503" i="5"/>
  <c r="AM513" i="5"/>
  <c r="AM544" i="5"/>
  <c r="AM483" i="5"/>
  <c r="AM90" i="5"/>
  <c r="AM154" i="5"/>
  <c r="AM181" i="5"/>
  <c r="AM183" i="5"/>
  <c r="AM271" i="5"/>
  <c r="AM268" i="5"/>
  <c r="AM339" i="5"/>
  <c r="AM345" i="5"/>
  <c r="AM417" i="5"/>
  <c r="AM366" i="5"/>
  <c r="AM460" i="5"/>
  <c r="AM403" i="5"/>
  <c r="AM511" i="5"/>
  <c r="AM466" i="5"/>
  <c r="AM509" i="5"/>
  <c r="AM517" i="5"/>
  <c r="AM407" i="5"/>
  <c r="AM19" i="5"/>
  <c r="AM151" i="5"/>
  <c r="AM275" i="5"/>
  <c r="AM398" i="5"/>
  <c r="AM479" i="5"/>
  <c r="AM119" i="5"/>
  <c r="AM351" i="5"/>
  <c r="AM471" i="5"/>
  <c r="AM522" i="5"/>
  <c r="AM150" i="5"/>
  <c r="AM393" i="5"/>
  <c r="AM478" i="5"/>
  <c r="AM523" i="5"/>
  <c r="AM187" i="5"/>
  <c r="AM350" i="5"/>
  <c r="AM429" i="5"/>
  <c r="AM529" i="5"/>
  <c r="AM34" i="5"/>
  <c r="AM182" i="5"/>
  <c r="AM361" i="5"/>
  <c r="AM439" i="5"/>
  <c r="AM548" i="5"/>
  <c r="AM202" i="5"/>
  <c r="AM245" i="5"/>
  <c r="AM516" i="5"/>
  <c r="AM78" i="5"/>
  <c r="AM279" i="5"/>
  <c r="AM254" i="5"/>
  <c r="AM353" i="5"/>
  <c r="AM501" i="5"/>
  <c r="AM95" i="5"/>
  <c r="AM290" i="5"/>
  <c r="AM378" i="5"/>
  <c r="AM469" i="5"/>
  <c r="V68" i="4"/>
  <c r="AM456" i="5"/>
  <c r="T488" i="5"/>
  <c r="T320" i="5"/>
  <c r="AI352" i="5"/>
  <c r="AH352" i="5"/>
  <c r="AM368" i="5"/>
  <c r="T384" i="5"/>
  <c r="AM400" i="5"/>
  <c r="T256" i="5"/>
  <c r="AM288" i="5"/>
  <c r="T312" i="5"/>
  <c r="T152" i="5"/>
  <c r="AM216" i="5"/>
  <c r="T8" i="5"/>
  <c r="B206" i="2"/>
  <c r="B255" i="2"/>
  <c r="AL64" i="5"/>
  <c r="AK64" i="5"/>
  <c r="U51" i="5"/>
  <c r="V51" i="5"/>
  <c r="AJ195" i="5"/>
  <c r="AJ519" i="5"/>
  <c r="AJ171" i="5"/>
  <c r="AJ457" i="5"/>
  <c r="AJ131" i="5"/>
  <c r="AJ59" i="5"/>
  <c r="AJ115" i="5"/>
  <c r="AH37" i="5"/>
  <c r="AI372" i="5"/>
  <c r="AH372" i="5"/>
  <c r="AH449" i="5"/>
  <c r="AJ533" i="5"/>
  <c r="AJ351" i="5"/>
  <c r="AJ383" i="5"/>
  <c r="AJ263" i="5"/>
  <c r="AJ159" i="5"/>
  <c r="AJ191" i="5"/>
  <c r="AJ95" i="5"/>
  <c r="U20" i="5"/>
  <c r="V20" i="5"/>
  <c r="U164" i="5"/>
  <c r="B51" i="2"/>
  <c r="AJ448" i="5"/>
  <c r="AJ504" i="5"/>
  <c r="AJ376" i="5"/>
  <c r="AJ120" i="5"/>
  <c r="AJ176" i="5"/>
  <c r="U40" i="5"/>
  <c r="AJ112" i="5"/>
  <c r="AJ369" i="5"/>
  <c r="AJ281" i="5"/>
  <c r="AI259" i="5"/>
  <c r="AI81" i="5"/>
  <c r="AH81" i="5"/>
  <c r="AJ203" i="5"/>
  <c r="AJ395" i="5"/>
  <c r="AJ155" i="5"/>
  <c r="AH278" i="5"/>
  <c r="AI278" i="5"/>
  <c r="AH149" i="5"/>
  <c r="AH30" i="5"/>
  <c r="AI30" i="5"/>
  <c r="AH397" i="5"/>
  <c r="AH422" i="5"/>
  <c r="AI420" i="5"/>
  <c r="AH420" i="5"/>
  <c r="AH477" i="5"/>
  <c r="AH158" i="5"/>
  <c r="AI158" i="5"/>
  <c r="AS53" i="4"/>
  <c r="U53" i="4"/>
  <c r="V53" i="4"/>
  <c r="AS50" i="4"/>
  <c r="U50" i="4"/>
  <c r="U13" i="4"/>
  <c r="V13" i="4"/>
  <c r="AS13" i="4"/>
  <c r="V32" i="4"/>
  <c r="AS32" i="4"/>
  <c r="U32" i="4"/>
  <c r="AH553" i="5"/>
  <c r="AI553" i="5"/>
  <c r="AJ447" i="5"/>
  <c r="AJ479" i="5"/>
  <c r="AJ231" i="5"/>
  <c r="AI135" i="5"/>
  <c r="AJ199" i="5"/>
  <c r="U153" i="5"/>
  <c r="V132" i="5"/>
  <c r="V308" i="5"/>
  <c r="U308" i="5"/>
  <c r="V165" i="5"/>
  <c r="U165" i="5"/>
  <c r="V189" i="5"/>
  <c r="U189" i="5"/>
  <c r="U90" i="5"/>
  <c r="V90" i="5"/>
  <c r="AJ512" i="5"/>
  <c r="AJ384" i="5"/>
  <c r="AJ256" i="5"/>
  <c r="AO296" i="5"/>
  <c r="U184" i="5"/>
  <c r="V184" i="5"/>
  <c r="V216" i="5"/>
  <c r="AN519" i="5"/>
  <c r="AO519" i="5"/>
  <c r="AI91" i="5"/>
  <c r="AH91" i="5"/>
  <c r="AJ26" i="5"/>
  <c r="AJ33" i="5"/>
  <c r="AJ34" i="5"/>
  <c r="AJ36" i="5"/>
  <c r="AJ65" i="5"/>
  <c r="AJ58" i="5"/>
  <c r="AJ70" i="5"/>
  <c r="AJ141" i="5"/>
  <c r="AJ102" i="5"/>
  <c r="AJ188" i="5"/>
  <c r="AJ148" i="5"/>
  <c r="AJ214" i="5"/>
  <c r="AJ241" i="5"/>
  <c r="AJ253" i="5"/>
  <c r="AJ294" i="5"/>
  <c r="AJ329" i="5"/>
  <c r="AJ251" i="5"/>
  <c r="AJ213" i="5"/>
  <c r="AJ270" i="5"/>
  <c r="AJ297" i="5"/>
  <c r="AJ246" i="5"/>
  <c r="AJ345" i="5"/>
  <c r="AJ370" i="5"/>
  <c r="AJ38" i="5"/>
  <c r="AJ68" i="5"/>
  <c r="AJ101" i="5"/>
  <c r="AJ138" i="5"/>
  <c r="AJ116" i="5"/>
  <c r="AJ133" i="5"/>
  <c r="AJ180" i="5"/>
  <c r="AJ242" i="5"/>
  <c r="AJ234" i="5"/>
  <c r="AJ189" i="5"/>
  <c r="AJ218" i="5"/>
  <c r="AJ298" i="5"/>
  <c r="AJ330" i="5"/>
  <c r="AJ254" i="5"/>
  <c r="AJ314" i="5"/>
  <c r="AJ221" i="5"/>
  <c r="AJ333" i="5"/>
  <c r="AJ346" i="5"/>
  <c r="AJ342" i="5"/>
  <c r="AJ378" i="5"/>
  <c r="AJ420" i="5"/>
  <c r="AJ396" i="5"/>
  <c r="AJ338" i="5"/>
  <c r="AJ446" i="5"/>
  <c r="AJ506" i="5"/>
  <c r="AJ502" i="5"/>
  <c r="AJ517" i="5"/>
  <c r="AJ542" i="5"/>
  <c r="AJ550" i="5"/>
  <c r="AJ528" i="5"/>
  <c r="AJ548" i="5"/>
  <c r="AJ486" i="5"/>
  <c r="AJ44" i="5"/>
  <c r="AJ42" i="5"/>
  <c r="AJ50" i="5"/>
  <c r="AJ74" i="5"/>
  <c r="AJ78" i="5"/>
  <c r="AJ109" i="5"/>
  <c r="AJ100" i="5"/>
  <c r="AJ118" i="5"/>
  <c r="AJ149" i="5"/>
  <c r="AJ110" i="5"/>
  <c r="AJ186" i="5"/>
  <c r="AJ165" i="5"/>
  <c r="AJ194" i="5"/>
  <c r="AJ222" i="5"/>
  <c r="AJ193" i="5"/>
  <c r="AJ269" i="5"/>
  <c r="AJ305" i="5"/>
  <c r="AJ177" i="5"/>
  <c r="AJ257" i="5"/>
  <c r="AJ293" i="5"/>
  <c r="AJ250" i="5"/>
  <c r="AJ277" i="5"/>
  <c r="AJ308" i="5"/>
  <c r="AJ340" i="5"/>
  <c r="AJ356" i="5"/>
  <c r="AJ412" i="5"/>
  <c r="AJ349" i="5"/>
  <c r="AJ394" i="5"/>
  <c r="AJ401" i="5"/>
  <c r="AJ385" i="5"/>
  <c r="AJ461" i="5"/>
  <c r="AJ482" i="5"/>
  <c r="AJ418" i="5"/>
  <c r="AJ508" i="5"/>
  <c r="AJ417" i="5"/>
  <c r="AJ442" i="5"/>
  <c r="AJ527" i="5"/>
  <c r="AJ547" i="5"/>
  <c r="AJ556" i="5"/>
  <c r="AJ535" i="5"/>
  <c r="AJ497" i="5"/>
  <c r="AJ46" i="5"/>
  <c r="AJ45" i="5"/>
  <c r="AJ54" i="5"/>
  <c r="AJ84" i="5"/>
  <c r="AJ130" i="5"/>
  <c r="AJ157" i="5"/>
  <c r="AJ114" i="5"/>
  <c r="AJ164" i="5"/>
  <c r="AJ156" i="5"/>
  <c r="AJ170" i="5"/>
  <c r="AJ205" i="5"/>
  <c r="AJ226" i="5"/>
  <c r="AJ197" i="5"/>
  <c r="AJ198" i="5"/>
  <c r="AJ310" i="5"/>
  <c r="AJ322" i="5"/>
  <c r="AJ252" i="5"/>
  <c r="AJ282" i="5"/>
  <c r="AJ357" i="5"/>
  <c r="AJ380" i="5"/>
  <c r="AJ413" i="5"/>
  <c r="AJ354" i="5"/>
  <c r="AJ300" i="5"/>
  <c r="AJ381" i="5"/>
  <c r="AJ428" i="5"/>
  <c r="AJ484" i="5"/>
  <c r="AJ454" i="5"/>
  <c r="AJ509" i="5"/>
  <c r="AJ421" i="5"/>
  <c r="AJ445" i="5"/>
  <c r="AJ485" i="5"/>
  <c r="AJ552" i="5"/>
  <c r="AJ452" i="5"/>
  <c r="AJ22" i="5"/>
  <c r="AJ20" i="5"/>
  <c r="AJ21" i="5"/>
  <c r="AJ52" i="5"/>
  <c r="AJ61" i="5"/>
  <c r="AJ60" i="5"/>
  <c r="AJ85" i="5"/>
  <c r="AJ125" i="5"/>
  <c r="AJ158" i="5"/>
  <c r="AJ132" i="5"/>
  <c r="AJ150" i="5"/>
  <c r="AJ166" i="5"/>
  <c r="AJ173" i="5"/>
  <c r="AJ228" i="5"/>
  <c r="AJ172" i="5"/>
  <c r="AJ236" i="5"/>
  <c r="AJ278" i="5"/>
  <c r="AJ317" i="5"/>
  <c r="AJ230" i="5"/>
  <c r="AJ301" i="5"/>
  <c r="AJ324" i="5"/>
  <c r="AJ258" i="5"/>
  <c r="AJ286" i="5"/>
  <c r="AJ316" i="5"/>
  <c r="AJ274" i="5"/>
  <c r="AJ358" i="5"/>
  <c r="AJ398" i="5"/>
  <c r="AJ382" i="5"/>
  <c r="AJ405" i="5"/>
  <c r="AJ429" i="5"/>
  <c r="AJ492" i="5"/>
  <c r="AJ523" i="5"/>
  <c r="AJ436" i="5"/>
  <c r="AJ510" i="5"/>
  <c r="AJ422" i="5"/>
  <c r="AJ490" i="5"/>
  <c r="AJ558" i="5"/>
  <c r="AJ462" i="5"/>
  <c r="AJ514" i="5"/>
  <c r="AJ28" i="5"/>
  <c r="AJ57" i="5"/>
  <c r="AJ82" i="5"/>
  <c r="AJ106" i="5"/>
  <c r="AJ134" i="5"/>
  <c r="AJ140" i="5"/>
  <c r="AJ179" i="5"/>
  <c r="AJ204" i="5"/>
  <c r="AJ237" i="5"/>
  <c r="AJ232" i="5"/>
  <c r="AJ321" i="5"/>
  <c r="AJ287" i="5"/>
  <c r="AJ267" i="5"/>
  <c r="AJ355" i="5"/>
  <c r="AJ377" i="5"/>
  <c r="AJ434" i="5"/>
  <c r="AJ388" i="5"/>
  <c r="AJ372" i="5"/>
  <c r="AJ352" i="5"/>
  <c r="AJ480" i="5"/>
  <c r="AJ373" i="5"/>
  <c r="AJ481" i="5"/>
  <c r="AJ266" i="5"/>
  <c r="AJ437" i="5"/>
  <c r="AJ526" i="5"/>
  <c r="AJ404" i="5"/>
  <c r="AJ530" i="5"/>
  <c r="AJ498" i="5"/>
  <c r="AJ19" i="5"/>
  <c r="O13" i="5"/>
  <c r="AJ23" i="5"/>
  <c r="AJ39" i="5"/>
  <c r="AJ62" i="5"/>
  <c r="AJ93" i="5"/>
  <c r="AJ117" i="5"/>
  <c r="AJ136" i="5"/>
  <c r="AJ151" i="5"/>
  <c r="AJ137" i="5"/>
  <c r="AJ25" i="5"/>
  <c r="AJ63" i="5"/>
  <c r="AJ75" i="5"/>
  <c r="AJ94" i="5"/>
  <c r="AJ126" i="5"/>
  <c r="AJ145" i="5"/>
  <c r="AJ154" i="5"/>
  <c r="AJ182" i="5"/>
  <c r="AJ219" i="5"/>
  <c r="AJ181" i="5"/>
  <c r="AJ243" i="5"/>
  <c r="AJ331" i="5"/>
  <c r="AJ309" i="5"/>
  <c r="AJ289" i="5"/>
  <c r="AJ296" i="5"/>
  <c r="AJ390" i="5"/>
  <c r="AJ336" i="5"/>
  <c r="AJ406" i="5"/>
  <c r="AJ387" i="5"/>
  <c r="AJ440" i="5"/>
  <c r="AJ500" i="5"/>
  <c r="AJ441" i="5"/>
  <c r="AJ494" i="5"/>
  <c r="AJ393" i="5"/>
  <c r="AJ458" i="5"/>
  <c r="AJ538" i="5"/>
  <c r="AJ532" i="5"/>
  <c r="AJ551" i="5"/>
  <c r="AJ555" i="5"/>
  <c r="AJ37" i="5"/>
  <c r="AJ69" i="5"/>
  <c r="AJ76" i="5"/>
  <c r="AJ104" i="5"/>
  <c r="AJ128" i="5"/>
  <c r="AJ80" i="5"/>
  <c r="AJ139" i="5"/>
  <c r="AJ184" i="5"/>
  <c r="AJ235" i="5"/>
  <c r="AJ192" i="5"/>
  <c r="AJ247" i="5"/>
  <c r="AJ248" i="5"/>
  <c r="AJ315" i="5"/>
  <c r="AJ292" i="5"/>
  <c r="AJ337" i="5"/>
  <c r="AJ392" i="5"/>
  <c r="AJ341" i="5"/>
  <c r="AJ415" i="5"/>
  <c r="AJ391" i="5"/>
  <c r="AJ444" i="5"/>
  <c r="AJ505" i="5"/>
  <c r="AJ443" i="5"/>
  <c r="AJ499" i="5"/>
  <c r="AJ402" i="5"/>
  <c r="AJ460" i="5"/>
  <c r="AJ540" i="5"/>
  <c r="AJ549" i="5"/>
  <c r="AJ554" i="5"/>
  <c r="AJ557" i="5"/>
  <c r="AJ29" i="5"/>
  <c r="AJ53" i="5"/>
  <c r="AJ77" i="5"/>
  <c r="AJ90" i="5"/>
  <c r="AJ146" i="5"/>
  <c r="AJ86" i="5"/>
  <c r="AJ168" i="5"/>
  <c r="AJ196" i="5"/>
  <c r="AJ238" i="5"/>
  <c r="AJ206" i="5"/>
  <c r="AJ262" i="5"/>
  <c r="AJ249" i="5"/>
  <c r="AJ332" i="5"/>
  <c r="AJ304" i="5"/>
  <c r="AJ344" i="5"/>
  <c r="AJ408" i="5"/>
  <c r="AJ348" i="5"/>
  <c r="AJ259" i="5"/>
  <c r="AJ397" i="5"/>
  <c r="AJ453" i="5"/>
  <c r="AJ511" i="5"/>
  <c r="AJ450" i="5"/>
  <c r="AJ503" i="5"/>
  <c r="AJ414" i="5"/>
  <c r="AJ472" i="5"/>
  <c r="AJ544" i="5"/>
  <c r="AJ559" i="5"/>
  <c r="AJ560" i="5"/>
  <c r="AJ474" i="5"/>
  <c r="AJ30" i="5"/>
  <c r="AJ66" i="5"/>
  <c r="AJ73" i="5"/>
  <c r="AJ92" i="5"/>
  <c r="AJ161" i="5"/>
  <c r="AJ108" i="5"/>
  <c r="AJ174" i="5"/>
  <c r="AJ124" i="5"/>
  <c r="AJ244" i="5"/>
  <c r="AJ209" i="5"/>
  <c r="AJ284" i="5"/>
  <c r="AJ255" i="5"/>
  <c r="AJ190" i="5"/>
  <c r="AJ319" i="5"/>
  <c r="AJ350" i="5"/>
  <c r="AJ419" i="5"/>
  <c r="AJ364" i="5"/>
  <c r="AJ323" i="5"/>
  <c r="AJ407" i="5"/>
  <c r="AJ470" i="5"/>
  <c r="AJ537" i="5"/>
  <c r="AJ463" i="5"/>
  <c r="AJ513" i="5"/>
  <c r="AJ424" i="5"/>
  <c r="AJ491" i="5"/>
  <c r="AJ261" i="5"/>
  <c r="AJ468" i="5"/>
  <c r="AJ471" i="5"/>
  <c r="AJ529" i="5"/>
  <c r="AJ41" i="5"/>
  <c r="AJ27" i="5"/>
  <c r="AJ91" i="5"/>
  <c r="AJ98" i="5"/>
  <c r="AJ87" i="5"/>
  <c r="AJ123" i="5"/>
  <c r="AJ185" i="5"/>
  <c r="AJ142" i="5"/>
  <c r="AJ202" i="5"/>
  <c r="AJ220" i="5"/>
  <c r="AJ290" i="5"/>
  <c r="AJ268" i="5"/>
  <c r="AJ245" i="5"/>
  <c r="AJ325" i="5"/>
  <c r="AJ363" i="5"/>
  <c r="AJ426" i="5"/>
  <c r="AJ366" i="5"/>
  <c r="AJ343" i="5"/>
  <c r="AJ409" i="5"/>
  <c r="AJ476" i="5"/>
  <c r="AJ288" i="5"/>
  <c r="AJ466" i="5"/>
  <c r="AJ518" i="5"/>
  <c r="AJ425" i="5"/>
  <c r="AJ496" i="5"/>
  <c r="AJ279" i="5"/>
  <c r="AJ516" i="5"/>
  <c r="AJ475" i="5"/>
  <c r="AJ543" i="5"/>
  <c r="AJ24" i="5"/>
  <c r="AJ49" i="5"/>
  <c r="AJ67" i="5"/>
  <c r="AJ103" i="5"/>
  <c r="AJ122" i="5"/>
  <c r="AJ129" i="5"/>
  <c r="AJ178" i="5"/>
  <c r="AJ162" i="5"/>
  <c r="AJ215" i="5"/>
  <c r="AJ229" i="5"/>
  <c r="AJ302" i="5"/>
  <c r="AJ275" i="5"/>
  <c r="AJ260" i="5"/>
  <c r="AJ334" i="5"/>
  <c r="AJ365" i="5"/>
  <c r="AJ427" i="5"/>
  <c r="AJ374" i="5"/>
  <c r="AJ362" i="5"/>
  <c r="AJ410" i="5"/>
  <c r="AJ477" i="5"/>
  <c r="AJ361" i="5"/>
  <c r="AJ469" i="5"/>
  <c r="AJ520" i="5"/>
  <c r="AJ433" i="5"/>
  <c r="AJ501" i="5"/>
  <c r="AJ285" i="5"/>
  <c r="AJ522" i="5"/>
  <c r="AJ478" i="5"/>
  <c r="AJ545" i="5"/>
  <c r="AJ212" i="5"/>
  <c r="AJ493" i="5"/>
  <c r="AJ389" i="5"/>
  <c r="AJ375" i="5"/>
  <c r="AJ210" i="5"/>
  <c r="AJ318" i="5"/>
  <c r="AJ456" i="5"/>
  <c r="AJ175" i="5"/>
  <c r="AJ400" i="5"/>
  <c r="AJ536" i="5"/>
  <c r="AJ208" i="5"/>
  <c r="AJ386" i="5"/>
  <c r="AJ524" i="5"/>
  <c r="AJ326" i="5"/>
  <c r="AJ430" i="5"/>
  <c r="AJ546" i="5"/>
  <c r="AJ306" i="5"/>
  <c r="AJ495" i="5"/>
  <c r="AJ531" i="5"/>
  <c r="AJ276" i="5"/>
  <c r="AJ438" i="5"/>
  <c r="AI337" i="5"/>
  <c r="AJ233" i="5"/>
  <c r="AJ507" i="5"/>
  <c r="AJ201" i="5"/>
  <c r="AJ435" i="5"/>
  <c r="AJ163" i="5"/>
  <c r="B47" i="2"/>
  <c r="AH404" i="5"/>
  <c r="AI404" i="5"/>
  <c r="AH178" i="5"/>
  <c r="AI341" i="5"/>
  <c r="AH341" i="5"/>
  <c r="AH189" i="5"/>
  <c r="AH452" i="5"/>
  <c r="AI437" i="5"/>
  <c r="AH437" i="5"/>
  <c r="AH258" i="5"/>
  <c r="AI258" i="5"/>
  <c r="AI426" i="5"/>
  <c r="AH426" i="5"/>
  <c r="AH378" i="5"/>
  <c r="AI378" i="5"/>
  <c r="AI133" i="5"/>
  <c r="AH133" i="5"/>
  <c r="AO486" i="5"/>
  <c r="AN486" i="5"/>
  <c r="V36" i="4"/>
  <c r="AS36" i="4"/>
  <c r="U36" i="4"/>
  <c r="AS144" i="4"/>
  <c r="U144" i="4"/>
  <c r="AS41" i="4"/>
  <c r="V41" i="4"/>
  <c r="U41" i="4"/>
  <c r="AJ553" i="5"/>
  <c r="AJ359" i="5"/>
  <c r="AJ271" i="5"/>
  <c r="AI219" i="5"/>
  <c r="AH219" i="5"/>
  <c r="AJ135" i="5"/>
  <c r="AJ167" i="5"/>
  <c r="U31" i="5"/>
  <c r="U217" i="5"/>
  <c r="V217" i="5"/>
  <c r="U110" i="5"/>
  <c r="V110" i="5"/>
  <c r="U124" i="5"/>
  <c r="V124" i="5"/>
  <c r="U158" i="5"/>
  <c r="AH264" i="5"/>
  <c r="AJ160" i="5"/>
  <c r="AJ216" i="5"/>
  <c r="AH64" i="5"/>
  <c r="AJ449" i="5"/>
  <c r="AJ81" i="5"/>
  <c r="AJ515" i="5"/>
  <c r="AH165" i="5"/>
  <c r="AN66" i="5"/>
  <c r="AO66" i="5"/>
  <c r="AN258" i="5"/>
  <c r="AO258" i="5"/>
  <c r="AN133" i="5"/>
  <c r="AO133" i="5"/>
  <c r="AO374" i="5"/>
  <c r="V65" i="4"/>
  <c r="AS65" i="4"/>
  <c r="U65" i="4"/>
  <c r="U119" i="4"/>
  <c r="V119" i="4"/>
  <c r="AS119" i="4"/>
  <c r="V112" i="4"/>
  <c r="AS112" i="4"/>
  <c r="U112" i="4"/>
  <c r="V99" i="4"/>
  <c r="AS99" i="4"/>
  <c r="U99" i="4"/>
  <c r="AJ423" i="5"/>
  <c r="AI447" i="5"/>
  <c r="AH447" i="5"/>
  <c r="AJ487" i="5"/>
  <c r="AJ327" i="5"/>
  <c r="AI359" i="5"/>
  <c r="AH359" i="5"/>
  <c r="AJ399" i="5"/>
  <c r="AH239" i="5"/>
  <c r="AI239" i="5"/>
  <c r="AH199" i="5"/>
  <c r="AI199" i="5"/>
  <c r="AJ31" i="5"/>
  <c r="AJ71" i="5"/>
  <c r="V220" i="5"/>
  <c r="V108" i="5"/>
  <c r="U163" i="5"/>
  <c r="V163" i="5"/>
  <c r="AJ534" i="5"/>
  <c r="AJ464" i="5"/>
  <c r="U240" i="5"/>
  <c r="V240" i="5"/>
  <c r="V128" i="5"/>
  <c r="U128" i="5"/>
  <c r="AH24" i="5"/>
  <c r="AI24" i="5"/>
  <c r="U72" i="5"/>
  <c r="V72" i="5"/>
  <c r="AJ473" i="5"/>
  <c r="AJ121" i="5"/>
  <c r="AJ89" i="5"/>
  <c r="AN449" i="5"/>
  <c r="AI491" i="5"/>
  <c r="AH491" i="5"/>
  <c r="AH521" i="5"/>
  <c r="AI521" i="5"/>
  <c r="AJ347" i="5"/>
  <c r="U75" i="5"/>
  <c r="V75" i="5"/>
  <c r="AI119" i="5"/>
  <c r="AJ265" i="5"/>
  <c r="AJ411" i="5"/>
  <c r="AJ291" i="5"/>
  <c r="AN388" i="5"/>
  <c r="AI222" i="5"/>
  <c r="AH222" i="5"/>
  <c r="AI410" i="5"/>
  <c r="AH142" i="5"/>
  <c r="AI520" i="5"/>
  <c r="AH520" i="5"/>
  <c r="AI450" i="5"/>
  <c r="AH450" i="5"/>
  <c r="AH354" i="5"/>
  <c r="AI354" i="5"/>
  <c r="AI21" i="5"/>
  <c r="AI485" i="5"/>
  <c r="AH485" i="5"/>
  <c r="AH382" i="5"/>
  <c r="AO454" i="5"/>
  <c r="AS147" i="4"/>
  <c r="U147" i="4"/>
  <c r="V147" i="4"/>
  <c r="B223" i="2"/>
  <c r="B200" i="2"/>
  <c r="B212" i="2" s="1"/>
  <c r="H65" i="1" s="1"/>
  <c r="AJ455" i="5"/>
  <c r="AJ239" i="5"/>
  <c r="V127" i="5"/>
  <c r="U127" i="5"/>
  <c r="AO175" i="5"/>
  <c r="AJ207" i="5"/>
  <c r="AJ47" i="5"/>
  <c r="U111" i="5"/>
  <c r="U202" i="5"/>
  <c r="V157" i="5"/>
  <c r="U157" i="5"/>
  <c r="V238" i="5"/>
  <c r="AJ488" i="5"/>
  <c r="AJ320" i="5"/>
  <c r="AJ264" i="5"/>
  <c r="U144" i="5"/>
  <c r="V144" i="5"/>
  <c r="U168" i="5"/>
  <c r="AJ48" i="5"/>
  <c r="AJ72" i="5"/>
  <c r="AJ96" i="5"/>
  <c r="AJ489" i="5"/>
  <c r="AJ113" i="5"/>
  <c r="AI211" i="5"/>
  <c r="AJ83" i="5"/>
  <c r="AJ313" i="5"/>
  <c r="AI535" i="5"/>
  <c r="AH535" i="5"/>
  <c r="AJ353" i="5"/>
  <c r="B174" i="2"/>
  <c r="B175" i="2"/>
  <c r="H54" i="1"/>
  <c r="AJ299" i="5"/>
  <c r="AJ211" i="5"/>
  <c r="AH166" i="5"/>
  <c r="AI166" i="5"/>
  <c r="AH82" i="5"/>
  <c r="AI528" i="5"/>
  <c r="AH528" i="5"/>
  <c r="AH386" i="5"/>
  <c r="AH551" i="5"/>
  <c r="AI551" i="5"/>
  <c r="AI173" i="5"/>
  <c r="AH173" i="5"/>
  <c r="AI470" i="5"/>
  <c r="AH470" i="5"/>
  <c r="AI26" i="5"/>
  <c r="AH26" i="5"/>
  <c r="AI492" i="5"/>
  <c r="AH492" i="5"/>
  <c r="AI346" i="5"/>
  <c r="AI313" i="5"/>
  <c r="AH313" i="5"/>
  <c r="AS122" i="4"/>
  <c r="U122" i="4"/>
  <c r="AJ525" i="5"/>
  <c r="AJ431" i="5"/>
  <c r="AJ335" i="5"/>
  <c r="AJ295" i="5"/>
  <c r="AJ127" i="5"/>
  <c r="AJ143" i="5"/>
  <c r="V175" i="5"/>
  <c r="U175" i="5"/>
  <c r="AJ79" i="5"/>
  <c r="U198" i="5"/>
  <c r="V198" i="5"/>
  <c r="U65" i="5"/>
  <c r="V65" i="5"/>
  <c r="U218" i="5"/>
  <c r="V218" i="5"/>
  <c r="V73" i="5"/>
  <c r="U73" i="5"/>
  <c r="U193" i="5"/>
  <c r="V193" i="5"/>
  <c r="U58" i="5"/>
  <c r="AJ360" i="5"/>
  <c r="AJ272" i="5"/>
  <c r="AJ312" i="5"/>
  <c r="AH48" i="5"/>
  <c r="AI48" i="5"/>
  <c r="AI72" i="5"/>
  <c r="V122" i="4"/>
  <c r="AH25" i="5"/>
  <c r="AI25" i="5"/>
  <c r="AH257" i="5"/>
  <c r="AJ107" i="5"/>
  <c r="AJ403" i="5"/>
  <c r="AI527" i="5"/>
  <c r="AJ467" i="5"/>
  <c r="AJ339" i="5"/>
  <c r="AJ119" i="5"/>
  <c r="AF539" i="5"/>
  <c r="AF448" i="5"/>
  <c r="AF467" i="5"/>
  <c r="AF256" i="5"/>
  <c r="AF511" i="5"/>
  <c r="AF248" i="5"/>
  <c r="AF298" i="5"/>
  <c r="AF444" i="5"/>
  <c r="AF281" i="5"/>
  <c r="AF398" i="5"/>
  <c r="AF523" i="5"/>
  <c r="AF526" i="5"/>
  <c r="AF293" i="5"/>
  <c r="AF207" i="5"/>
  <c r="AF81" i="5"/>
  <c r="AF455" i="5"/>
  <c r="AF364" i="5"/>
  <c r="AF313" i="5"/>
  <c r="AF128" i="5"/>
  <c r="AF544" i="5"/>
  <c r="AF488" i="5"/>
  <c r="AF473" i="5"/>
  <c r="AF459" i="5"/>
  <c r="AF434" i="5"/>
  <c r="AF306" i="5"/>
  <c r="AF272" i="5"/>
  <c r="AF205" i="5"/>
  <c r="AF132" i="5"/>
  <c r="AF27" i="5"/>
  <c r="AF525" i="5"/>
  <c r="AF520" i="5"/>
  <c r="AF512" i="5"/>
  <c r="AF516" i="5"/>
  <c r="AF320" i="5"/>
  <c r="AF265" i="5"/>
  <c r="AF304" i="5"/>
  <c r="AF173" i="5"/>
  <c r="AF64" i="5"/>
  <c r="AF46" i="5"/>
  <c r="AF93" i="5"/>
  <c r="AF167" i="5"/>
  <c r="AF213" i="5"/>
  <c r="AF266" i="5"/>
  <c r="AF288" i="5"/>
  <c r="AF331" i="5"/>
  <c r="AF393" i="5"/>
  <c r="AF383" i="5"/>
  <c r="AF413" i="5"/>
  <c r="AF490" i="5"/>
  <c r="AF79" i="5"/>
  <c r="AF155" i="5"/>
  <c r="AF186" i="5"/>
  <c r="AF194" i="5"/>
  <c r="AF311" i="5"/>
  <c r="AF247" i="5"/>
  <c r="AF277" i="5"/>
  <c r="AF257" i="5"/>
  <c r="AF335" i="5"/>
  <c r="AF406" i="5"/>
  <c r="AF134" i="5"/>
  <c r="AF117" i="5"/>
  <c r="AF74" i="5"/>
  <c r="AF40" i="5"/>
  <c r="AF130" i="5"/>
  <c r="AF121" i="5"/>
  <c r="AF160" i="5"/>
  <c r="AF75" i="5"/>
  <c r="AF44" i="5"/>
  <c r="AF7" i="5"/>
  <c r="AF9" i="5"/>
  <c r="AF430" i="5"/>
  <c r="AF362" i="5"/>
  <c r="AF514" i="5"/>
  <c r="AF316" i="5"/>
  <c r="AF461" i="5"/>
  <c r="AF318" i="5"/>
  <c r="AF228" i="5"/>
  <c r="AF478" i="5"/>
  <c r="AF250" i="5"/>
  <c r="AF513" i="5"/>
  <c r="AF500" i="5"/>
  <c r="AF485" i="5"/>
  <c r="AF330" i="5"/>
  <c r="AF157" i="5"/>
  <c r="AF70" i="5"/>
  <c r="AF426" i="5"/>
  <c r="AF377" i="5"/>
  <c r="AF227" i="5"/>
  <c r="AF54" i="5"/>
  <c r="AF518" i="5"/>
  <c r="AF429" i="5"/>
  <c r="AF463" i="5"/>
  <c r="AF439" i="5"/>
  <c r="AF397" i="5"/>
  <c r="AF208" i="5"/>
  <c r="AF215" i="5"/>
  <c r="AF240" i="5"/>
  <c r="AF144" i="5"/>
  <c r="AF550" i="5"/>
  <c r="AF451" i="5"/>
  <c r="AF506" i="5"/>
  <c r="AF498" i="5"/>
  <c r="AF496" i="5"/>
  <c r="AF402" i="5"/>
  <c r="AF350" i="5"/>
  <c r="AF278" i="5"/>
  <c r="AF159" i="5"/>
  <c r="AF63" i="5"/>
  <c r="AF33" i="5"/>
  <c r="AF116" i="5"/>
  <c r="AF164" i="5"/>
  <c r="AF225" i="5"/>
  <c r="AF279" i="5"/>
  <c r="AF303" i="5"/>
  <c r="AF352" i="5"/>
  <c r="AF409" i="5"/>
  <c r="AF404" i="5"/>
  <c r="AF336" i="5"/>
  <c r="AF39" i="5"/>
  <c r="AF96" i="5"/>
  <c r="AF127" i="5"/>
  <c r="AF216" i="5"/>
  <c r="AF203" i="5"/>
  <c r="AF327" i="5"/>
  <c r="AF268" i="5"/>
  <c r="AF324" i="5"/>
  <c r="AF295" i="5"/>
  <c r="AF357" i="5"/>
  <c r="AF433" i="5"/>
  <c r="AF182" i="5"/>
  <c r="AF107" i="5"/>
  <c r="AF78" i="5"/>
  <c r="AF42" i="5"/>
  <c r="AF172" i="5"/>
  <c r="AF103" i="5"/>
  <c r="AF142" i="5"/>
  <c r="AF35" i="5"/>
  <c r="AF37" i="5"/>
  <c r="AF12" i="5"/>
  <c r="AF471" i="5"/>
  <c r="AF243" i="5"/>
  <c r="AF517" i="5"/>
  <c r="AF199" i="5"/>
  <c r="AF437" i="5"/>
  <c r="AF235" i="5"/>
  <c r="AF510" i="5"/>
  <c r="AF483" i="5"/>
  <c r="AF146" i="5"/>
  <c r="AF559" i="5"/>
  <c r="AF446" i="5"/>
  <c r="AF412" i="5"/>
  <c r="AF285" i="5"/>
  <c r="AF91" i="5"/>
  <c r="AF560" i="5"/>
  <c r="AF468" i="5"/>
  <c r="AF332" i="5"/>
  <c r="AF226" i="5"/>
  <c r="AF55" i="5"/>
  <c r="AF541" i="5"/>
  <c r="AF545" i="5"/>
  <c r="AF432" i="5"/>
  <c r="AF536" i="5"/>
  <c r="AF389" i="5"/>
  <c r="AF372" i="5"/>
  <c r="AF261" i="5"/>
  <c r="AF187" i="5"/>
  <c r="AF109" i="5"/>
  <c r="AF549" i="5"/>
  <c r="AF499" i="5"/>
  <c r="AF476" i="5"/>
  <c r="AF462" i="5"/>
  <c r="AF435" i="5"/>
  <c r="AF309" i="5"/>
  <c r="AF275" i="5"/>
  <c r="AF210" i="5"/>
  <c r="AF136" i="5"/>
  <c r="AF28" i="5"/>
  <c r="AF71" i="5"/>
  <c r="AF153" i="5"/>
  <c r="AF179" i="5"/>
  <c r="AF177" i="5"/>
  <c r="AF308" i="5"/>
  <c r="AF234" i="5"/>
  <c r="AF274" i="5"/>
  <c r="AF254" i="5"/>
  <c r="AF334" i="5"/>
  <c r="AF403" i="5"/>
  <c r="AF41" i="5"/>
  <c r="AF106" i="5"/>
  <c r="AF181" i="5"/>
  <c r="AF178" i="5"/>
  <c r="AF237" i="5"/>
  <c r="AF259" i="5"/>
  <c r="AF305" i="5"/>
  <c r="AF368" i="5"/>
  <c r="AF347" i="5"/>
  <c r="AF384" i="5"/>
  <c r="AF458" i="5"/>
  <c r="AF143" i="5"/>
  <c r="AF124" i="5"/>
  <c r="AF66" i="5"/>
  <c r="AF211" i="5"/>
  <c r="AF122" i="5"/>
  <c r="AF147" i="5"/>
  <c r="AF99" i="5"/>
  <c r="AF53" i="5"/>
  <c r="AF36" i="5"/>
  <c r="AF13" i="5"/>
  <c r="AF537" i="5"/>
  <c r="AF540" i="5"/>
  <c r="AF415" i="5"/>
  <c r="AF151" i="5"/>
  <c r="AF501" i="5"/>
  <c r="AF180" i="5"/>
  <c r="AF547" i="5"/>
  <c r="AF408" i="5"/>
  <c r="AF24" i="5"/>
  <c r="AF548" i="5"/>
  <c r="AF223" i="5"/>
  <c r="AF338" i="5"/>
  <c r="AF319" i="5"/>
  <c r="AF92" i="5"/>
  <c r="AF502" i="5"/>
  <c r="AF424" i="5"/>
  <c r="AF428" i="5"/>
  <c r="AF233" i="5"/>
  <c r="AF67" i="5"/>
  <c r="AF557" i="5"/>
  <c r="AF528" i="5"/>
  <c r="AF345" i="5"/>
  <c r="AF527" i="5"/>
  <c r="AF363" i="5"/>
  <c r="AF340" i="5"/>
  <c r="AF328" i="5"/>
  <c r="AF220" i="5"/>
  <c r="AF98" i="5"/>
  <c r="AF538" i="5"/>
  <c r="AF431" i="5"/>
  <c r="AF465" i="5"/>
  <c r="AF452" i="5"/>
  <c r="AF400" i="5"/>
  <c r="AF239" i="5"/>
  <c r="AF218" i="5"/>
  <c r="AF139" i="5"/>
  <c r="AF150" i="5"/>
  <c r="AF32" i="5"/>
  <c r="AF87" i="5"/>
  <c r="AF114" i="5"/>
  <c r="AF209" i="5"/>
  <c r="AF202" i="5"/>
  <c r="AF325" i="5"/>
  <c r="AF267" i="5"/>
  <c r="AF301" i="5"/>
  <c r="AF283" i="5"/>
  <c r="AF346" i="5"/>
  <c r="AF425" i="5"/>
  <c r="AF60" i="5"/>
  <c r="AF148" i="5"/>
  <c r="AF137" i="5"/>
  <c r="AF195" i="5"/>
  <c r="AF246" i="5"/>
  <c r="AF271" i="5"/>
  <c r="AF326" i="5"/>
  <c r="AF386" i="5"/>
  <c r="AF369" i="5"/>
  <c r="AF399" i="5"/>
  <c r="AF475" i="5"/>
  <c r="AF115" i="5"/>
  <c r="AF104" i="5"/>
  <c r="AF47" i="5"/>
  <c r="AF189" i="5"/>
  <c r="AF184" i="5"/>
  <c r="AF133" i="5"/>
  <c r="AF100" i="5"/>
  <c r="AF30" i="5"/>
  <c r="AF45" i="5"/>
  <c r="AF11" i="5"/>
  <c r="AF534" i="5"/>
  <c r="AF531" i="5"/>
  <c r="AF337" i="5"/>
  <c r="AF494" i="5"/>
  <c r="AF382" i="5"/>
  <c r="AF89" i="5"/>
  <c r="AF551" i="5"/>
  <c r="AF373" i="5"/>
  <c r="AF553" i="5"/>
  <c r="AF552" i="5"/>
  <c r="AF480" i="5"/>
  <c r="AF375" i="5"/>
  <c r="AF258" i="5"/>
  <c r="AF23" i="5"/>
  <c r="AF535" i="5"/>
  <c r="AF533" i="5"/>
  <c r="AF355" i="5"/>
  <c r="AF242" i="5"/>
  <c r="AF20" i="5"/>
  <c r="AF508" i="5"/>
  <c r="AF519" i="5"/>
  <c r="AF507" i="5"/>
  <c r="AF515" i="5"/>
  <c r="AF314" i="5"/>
  <c r="AF260" i="5"/>
  <c r="AF299" i="5"/>
  <c r="AF82" i="5"/>
  <c r="AF29" i="5"/>
  <c r="AF443" i="5"/>
  <c r="AF374" i="5"/>
  <c r="AF454" i="5"/>
  <c r="AF423" i="5"/>
  <c r="AF263" i="5"/>
  <c r="AF407" i="5"/>
  <c r="AF300" i="5"/>
  <c r="AF222" i="5"/>
  <c r="AF111" i="5"/>
  <c r="AF34" i="5"/>
  <c r="AF84" i="5"/>
  <c r="AF145" i="5"/>
  <c r="AF229" i="5"/>
  <c r="AF214" i="5"/>
  <c r="AF171" i="5"/>
  <c r="AF284" i="5"/>
  <c r="AF349" i="5"/>
  <c r="AF312" i="5"/>
  <c r="AF370" i="5"/>
  <c r="AF436" i="5"/>
  <c r="AF49" i="5"/>
  <c r="AF102" i="5"/>
  <c r="AF175" i="5"/>
  <c r="AF217" i="5"/>
  <c r="AF270" i="5"/>
  <c r="AF291" i="5"/>
  <c r="AF341" i="5"/>
  <c r="AF396" i="5"/>
  <c r="AF385" i="5"/>
  <c r="AF416" i="5"/>
  <c r="AF174" i="5"/>
  <c r="AF88" i="5"/>
  <c r="AF95" i="5"/>
  <c r="AF65" i="5"/>
  <c r="AF158" i="5"/>
  <c r="AF169" i="5"/>
  <c r="AF125" i="5"/>
  <c r="AF83" i="5"/>
  <c r="AF58" i="5"/>
  <c r="AF482" i="5"/>
  <c r="AF487" i="5"/>
  <c r="AF90" i="5"/>
  <c r="AF481" i="5"/>
  <c r="AF280" i="5"/>
  <c r="AF19" i="5"/>
  <c r="AF294" i="5"/>
  <c r="AF356" i="5"/>
  <c r="AF421" i="5"/>
  <c r="AF310" i="5"/>
  <c r="AF59" i="5"/>
  <c r="AF492" i="5"/>
  <c r="AF365" i="5"/>
  <c r="AF190" i="5"/>
  <c r="AF73" i="5"/>
  <c r="AF191" i="5"/>
  <c r="AF302" i="5"/>
  <c r="AF418" i="5"/>
  <c r="AF77" i="5"/>
  <c r="AF230" i="5"/>
  <c r="AF290" i="5"/>
  <c r="AF249" i="5"/>
  <c r="AF149" i="5"/>
  <c r="AF21" i="5"/>
  <c r="AF105" i="5"/>
  <c r="AF245" i="5"/>
  <c r="AF427" i="5"/>
  <c r="AF555" i="5"/>
  <c r="AF543" i="5"/>
  <c r="AF391" i="5"/>
  <c r="AF509" i="5"/>
  <c r="AF286" i="5"/>
  <c r="AF530" i="5"/>
  <c r="AF491" i="5"/>
  <c r="AF296" i="5"/>
  <c r="AF50" i="5"/>
  <c r="AF440" i="5"/>
  <c r="AF353" i="5"/>
  <c r="AF224" i="5"/>
  <c r="AF94" i="5"/>
  <c r="AF236" i="5"/>
  <c r="AF321" i="5"/>
  <c r="AF380" i="5"/>
  <c r="AF86" i="5"/>
  <c r="AF238" i="5"/>
  <c r="AF358" i="5"/>
  <c r="AF371" i="5"/>
  <c r="AF131" i="5"/>
  <c r="AF192" i="5"/>
  <c r="AF85" i="5"/>
  <c r="AF445" i="5"/>
  <c r="AF505" i="5"/>
  <c r="AF495" i="5"/>
  <c r="AF469" i="5"/>
  <c r="AF262" i="5"/>
  <c r="AF479" i="5"/>
  <c r="AF176" i="5"/>
  <c r="AF322" i="5"/>
  <c r="AF460" i="5"/>
  <c r="AF276" i="5"/>
  <c r="AF493" i="5"/>
  <c r="AF420" i="5"/>
  <c r="AF376" i="5"/>
  <c r="AF108" i="5"/>
  <c r="AF126" i="5"/>
  <c r="AF231" i="5"/>
  <c r="AF252" i="5"/>
  <c r="AF395" i="5"/>
  <c r="AF123" i="5"/>
  <c r="AF219" i="5"/>
  <c r="AF255" i="5"/>
  <c r="AF348" i="5"/>
  <c r="AF156" i="5"/>
  <c r="AF168" i="5"/>
  <c r="AF97" i="5"/>
  <c r="AF10" i="5"/>
  <c r="AF521" i="5"/>
  <c r="AF417" i="5"/>
  <c r="AF366" i="5"/>
  <c r="AF556" i="5"/>
  <c r="AF197" i="5"/>
  <c r="AF504" i="5"/>
  <c r="AF161" i="5"/>
  <c r="AF503" i="5"/>
  <c r="AF419" i="5"/>
  <c r="AF241" i="5"/>
  <c r="AF542" i="5"/>
  <c r="AF477" i="5"/>
  <c r="AF342" i="5"/>
  <c r="AF101" i="5"/>
  <c r="AF135" i="5"/>
  <c r="AF201" i="5"/>
  <c r="AF367" i="5"/>
  <c r="AF388" i="5"/>
  <c r="AF140" i="5"/>
  <c r="AF282" i="5"/>
  <c r="AF354" i="5"/>
  <c r="AF394" i="5"/>
  <c r="AF57" i="5"/>
  <c r="AF152" i="5"/>
  <c r="AF48" i="5"/>
  <c r="AF31" i="5"/>
  <c r="AF453" i="5"/>
  <c r="AF438" i="5"/>
  <c r="AF387" i="5"/>
  <c r="AF470" i="5"/>
  <c r="AF212" i="5"/>
  <c r="AF497" i="5"/>
  <c r="AF68" i="5"/>
  <c r="AF484" i="5"/>
  <c r="AF390" i="5"/>
  <c r="AF221" i="5"/>
  <c r="AF558" i="5"/>
  <c r="AF359" i="5"/>
  <c r="AF317" i="5"/>
  <c r="AF80" i="5"/>
  <c r="AF170" i="5"/>
  <c r="AF292" i="5"/>
  <c r="AF381" i="5"/>
  <c r="AF456" i="5"/>
  <c r="AF120" i="5"/>
  <c r="AF297" i="5"/>
  <c r="AF410" i="5"/>
  <c r="AF442" i="5"/>
  <c r="AF61" i="5"/>
  <c r="AF138" i="5"/>
  <c r="AF76" i="5"/>
  <c r="AF8" i="5"/>
  <c r="AF273" i="5"/>
  <c r="AF289" i="5"/>
  <c r="AF329" i="5"/>
  <c r="AF457" i="5"/>
  <c r="AF113" i="5"/>
  <c r="AF447" i="5"/>
  <c r="AF524" i="5"/>
  <c r="AF449" i="5"/>
  <c r="AF351" i="5"/>
  <c r="AF185" i="5"/>
  <c r="AF546" i="5"/>
  <c r="AF532" i="5"/>
  <c r="AF264" i="5"/>
  <c r="AF51" i="5"/>
  <c r="AF119" i="5"/>
  <c r="AF253" i="5"/>
  <c r="AF441" i="5"/>
  <c r="AF472" i="5"/>
  <c r="AF166" i="5"/>
  <c r="AF183" i="5"/>
  <c r="AF193" i="5"/>
  <c r="AF118" i="5"/>
  <c r="AF69" i="5"/>
  <c r="AF141" i="5"/>
  <c r="AF72" i="5"/>
  <c r="AF522" i="5"/>
  <c r="AF287" i="5"/>
  <c r="AF379" i="5"/>
  <c r="AF206" i="5"/>
  <c r="AF378" i="5"/>
  <c r="AF165" i="5"/>
  <c r="AF414" i="5"/>
  <c r="AF489" i="5"/>
  <c r="AF486" i="5"/>
  <c r="AF405" i="5"/>
  <c r="AF188" i="5"/>
  <c r="AF554" i="5"/>
  <c r="AF464" i="5"/>
  <c r="AF333" i="5"/>
  <c r="AF26" i="5"/>
  <c r="AF200" i="5"/>
  <c r="AF269" i="5"/>
  <c r="AF343" i="5"/>
  <c r="AF43" i="5"/>
  <c r="AF204" i="5"/>
  <c r="AF307" i="5"/>
  <c r="AF315" i="5"/>
  <c r="AF162" i="5"/>
  <c r="AF52" i="5"/>
  <c r="AF154" i="5"/>
  <c r="AF62" i="5"/>
  <c r="AF466" i="5"/>
  <c r="AF196" i="5"/>
  <c r="AF339" i="5"/>
  <c r="AF450" i="5"/>
  <c r="AF422" i="5"/>
  <c r="AF129" i="5"/>
  <c r="AF360" i="5"/>
  <c r="AF401" i="5"/>
  <c r="AF474" i="5"/>
  <c r="AF344" i="5"/>
  <c r="AF110" i="5"/>
  <c r="AF529" i="5"/>
  <c r="AF392" i="5"/>
  <c r="AF244" i="5"/>
  <c r="AF56" i="5"/>
  <c r="AF251" i="5"/>
  <c r="AF323" i="5"/>
  <c r="AF361" i="5"/>
  <c r="AF38" i="5"/>
  <c r="AF232" i="5"/>
  <c r="AF198" i="5"/>
  <c r="AF411" i="5"/>
  <c r="AF163" i="5"/>
  <c r="AF25" i="5"/>
  <c r="AF112" i="5"/>
  <c r="AF22" i="5"/>
  <c r="AH70" i="5"/>
  <c r="AI340" i="5"/>
  <c r="AH340" i="5"/>
  <c r="AH210" i="5"/>
  <c r="AI210" i="5"/>
  <c r="AH78" i="5"/>
  <c r="AI78" i="5"/>
  <c r="AI381" i="5"/>
  <c r="AI205" i="5"/>
  <c r="AH205" i="5"/>
  <c r="AH138" i="5"/>
  <c r="AH418" i="5"/>
  <c r="AI348" i="5"/>
  <c r="AI45" i="5"/>
  <c r="AH45" i="5"/>
  <c r="AH417" i="5"/>
  <c r="AI417" i="5"/>
  <c r="AH233" i="5"/>
  <c r="AH42" i="5"/>
  <c r="AI42" i="5"/>
  <c r="AS83" i="4"/>
  <c r="U83" i="4"/>
  <c r="AS90" i="4"/>
  <c r="V90" i="4"/>
  <c r="U90" i="4"/>
  <c r="V156" i="4"/>
  <c r="AS156" i="4"/>
  <c r="U156" i="4"/>
  <c r="AJ367" i="5"/>
  <c r="AJ223" i="5"/>
  <c r="U255" i="5"/>
  <c r="V255" i="5"/>
  <c r="AJ303" i="5"/>
  <c r="AH87" i="5"/>
  <c r="AJ111" i="5"/>
  <c r="V179" i="5"/>
  <c r="U179" i="5"/>
  <c r="U49" i="5"/>
  <c r="U68" i="5"/>
  <c r="V68" i="5"/>
  <c r="U148" i="5"/>
  <c r="AJ7" i="5"/>
  <c r="AG7" i="5"/>
  <c r="AM7" i="5"/>
  <c r="T7" i="5"/>
  <c r="Q7" i="5"/>
  <c r="W7" i="5"/>
  <c r="AH496" i="5"/>
  <c r="AI496" i="5"/>
  <c r="AJ368" i="5"/>
  <c r="AJ416" i="5"/>
  <c r="AJ240" i="5"/>
  <c r="AJ144" i="5"/>
  <c r="U200" i="5"/>
  <c r="AJ32" i="5"/>
  <c r="AJ56" i="5"/>
  <c r="AI104" i="5"/>
  <c r="AH104" i="5"/>
  <c r="V50" i="4"/>
  <c r="AI283" i="5"/>
  <c r="AJ97" i="5"/>
  <c r="AJ459" i="5"/>
  <c r="AJ541" i="5"/>
  <c r="AJ35" i="5"/>
  <c r="AJ99" i="5"/>
  <c r="AJ8" i="5"/>
  <c r="AI434" i="5"/>
  <c r="AH434" i="5"/>
  <c r="AI460" i="5"/>
  <c r="AH460" i="5"/>
  <c r="AH302" i="5"/>
  <c r="AI302" i="5"/>
  <c r="AI540" i="5"/>
  <c r="AH540" i="5"/>
  <c r="AI544" i="5"/>
  <c r="AH237" i="5"/>
  <c r="AH229" i="5"/>
  <c r="AI229" i="5"/>
  <c r="AH92" i="5"/>
  <c r="AI92" i="5"/>
  <c r="AO293" i="5"/>
  <c r="V51" i="4"/>
  <c r="AS51" i="4"/>
  <c r="U51" i="4"/>
  <c r="V124" i="4"/>
  <c r="AS124" i="4"/>
  <c r="U124" i="4"/>
  <c r="AS107" i="4"/>
  <c r="U107" i="4"/>
  <c r="V107" i="4"/>
  <c r="AS114" i="4"/>
  <c r="U114" i="4"/>
  <c r="V113" i="4"/>
  <c r="AS113" i="4"/>
  <c r="U113" i="4"/>
  <c r="AJ439" i="5"/>
  <c r="AI223" i="5"/>
  <c r="AH255" i="5"/>
  <c r="AJ311" i="5"/>
  <c r="AJ183" i="5"/>
  <c r="AJ55" i="5"/>
  <c r="V278" i="5"/>
  <c r="U62" i="5"/>
  <c r="V62" i="5"/>
  <c r="U209" i="5"/>
  <c r="U29" i="5"/>
  <c r="V29" i="5"/>
  <c r="AJ432" i="5"/>
  <c r="AJ328" i="5"/>
  <c r="AI368" i="5"/>
  <c r="AH368" i="5"/>
  <c r="AJ224" i="5"/>
  <c r="AJ280" i="5"/>
  <c r="U120" i="5"/>
  <c r="V120" i="5"/>
  <c r="AJ152" i="5"/>
  <c r="AJ200" i="5"/>
  <c r="AJ40" i="5"/>
  <c r="AJ88" i="5"/>
  <c r="AJ217" i="5"/>
  <c r="V114" i="4"/>
  <c r="AH548" i="5" l="1"/>
  <c r="AI392" i="5"/>
  <c r="AI290" i="5"/>
  <c r="AH41" i="5"/>
  <c r="AI201" i="5"/>
  <c r="AI468" i="5"/>
  <c r="AI250" i="5"/>
  <c r="AH305" i="5"/>
  <c r="AI326" i="5"/>
  <c r="AI295" i="5"/>
  <c r="AN332" i="5"/>
  <c r="AN31" i="5"/>
  <c r="AO530" i="5"/>
  <c r="AI127" i="5"/>
  <c r="AH390" i="5"/>
  <c r="AI103" i="5"/>
  <c r="AH97" i="5"/>
  <c r="AH221" i="5"/>
  <c r="AH376" i="5"/>
  <c r="AI307" i="5"/>
  <c r="AH486" i="5"/>
  <c r="AH498" i="5"/>
  <c r="AI312" i="5"/>
  <c r="AI557" i="5"/>
  <c r="AI370" i="5"/>
  <c r="AI494" i="5"/>
  <c r="AH512" i="5"/>
  <c r="AI510" i="5"/>
  <c r="AH209" i="5"/>
  <c r="AI38" i="5"/>
  <c r="AN195" i="5"/>
  <c r="AH280" i="5"/>
  <c r="AH175" i="5"/>
  <c r="AN110" i="5"/>
  <c r="AI51" i="5"/>
  <c r="AI488" i="5"/>
  <c r="AH364" i="5"/>
  <c r="AI267" i="5"/>
  <c r="AI438" i="5"/>
  <c r="AI531" i="5"/>
  <c r="AH182" i="5"/>
  <c r="AI466" i="5"/>
  <c r="AI499" i="5"/>
  <c r="AH126" i="5"/>
  <c r="AI461" i="5"/>
  <c r="AN251" i="5"/>
  <c r="AH171" i="5"/>
  <c r="AO525" i="5"/>
  <c r="AO358" i="5"/>
  <c r="AI270" i="5"/>
  <c r="AH276" i="5"/>
  <c r="AH457" i="5"/>
  <c r="AH306" i="5"/>
  <c r="AH131" i="5"/>
  <c r="AI226" i="5"/>
  <c r="AI480" i="5"/>
  <c r="AH358" i="5"/>
  <c r="AN437" i="5"/>
  <c r="AO161" i="5"/>
  <c r="AO79" i="5"/>
  <c r="AO289" i="5"/>
  <c r="AO413" i="5"/>
  <c r="AO474" i="5"/>
  <c r="AO534" i="5"/>
  <c r="AL521" i="5"/>
  <c r="AN173" i="5"/>
  <c r="AO508" i="5"/>
  <c r="AO167" i="5"/>
  <c r="AN540" i="5"/>
  <c r="AO526" i="5"/>
  <c r="AN510" i="5"/>
  <c r="AI419" i="5"/>
  <c r="AO528" i="5"/>
  <c r="AI99" i="5"/>
  <c r="AI421" i="5"/>
  <c r="AH504" i="5"/>
  <c r="AI344" i="5"/>
  <c r="AH169" i="5"/>
  <c r="AH147" i="5"/>
  <c r="AI102" i="5"/>
  <c r="AI100" i="5"/>
  <c r="AO496" i="5"/>
  <c r="AN423" i="5"/>
  <c r="AO421" i="5"/>
  <c r="AN253" i="5"/>
  <c r="AI68" i="5"/>
  <c r="AH134" i="5"/>
  <c r="AN346" i="5"/>
  <c r="AI412" i="5"/>
  <c r="AI217" i="5"/>
  <c r="AI188" i="5"/>
  <c r="AH117" i="5"/>
  <c r="AH277" i="5"/>
  <c r="AI507" i="5"/>
  <c r="AI322" i="5"/>
  <c r="AH272" i="5"/>
  <c r="AI168" i="5"/>
  <c r="AH83" i="5"/>
  <c r="AH546" i="5"/>
  <c r="AN276" i="5"/>
  <c r="AO204" i="5"/>
  <c r="AN48" i="5"/>
  <c r="AN487" i="5"/>
  <c r="AN118" i="5"/>
  <c r="AN205" i="5"/>
  <c r="AO306" i="5"/>
  <c r="AN29" i="5"/>
  <c r="AO560" i="5"/>
  <c r="AN543" i="5"/>
  <c r="AO457" i="5"/>
  <c r="AN284" i="5"/>
  <c r="AN446" i="5"/>
  <c r="AO270" i="5"/>
  <c r="AN482" i="5"/>
  <c r="AO301" i="5"/>
  <c r="AH318" i="5"/>
  <c r="AH238" i="5"/>
  <c r="AH314" i="5"/>
  <c r="AH194" i="5"/>
  <c r="AH355" i="5"/>
  <c r="AI79" i="5"/>
  <c r="AI360" i="5"/>
  <c r="AH93" i="5"/>
  <c r="AI128" i="5"/>
  <c r="AH29" i="5"/>
  <c r="AI234" i="5"/>
  <c r="AI28" i="5"/>
  <c r="AH559" i="5"/>
  <c r="AH111" i="5"/>
  <c r="AH529" i="5"/>
  <c r="AH56" i="5"/>
  <c r="AH379" i="5"/>
  <c r="AH66" i="5"/>
  <c r="AI536" i="5"/>
  <c r="AI96" i="5"/>
  <c r="AI335" i="5"/>
  <c r="AI338" i="5"/>
  <c r="AI192" i="5"/>
  <c r="AI463" i="5"/>
  <c r="AH80" i="5"/>
  <c r="AH108" i="5"/>
  <c r="AH286" i="5"/>
  <c r="AI253" i="5"/>
  <c r="AH374" i="5"/>
  <c r="AI251" i="5"/>
  <c r="AI144" i="5"/>
  <c r="AH362" i="5"/>
  <c r="AH98" i="5"/>
  <c r="AI428" i="5"/>
  <c r="AH22" i="5"/>
  <c r="AH522" i="5"/>
  <c r="AH443" i="5"/>
  <c r="AH177" i="5"/>
  <c r="AI35" i="5"/>
  <c r="AI525" i="5"/>
  <c r="AH252" i="5"/>
  <c r="AH55" i="5"/>
  <c r="AH425" i="5"/>
  <c r="AH347" i="5"/>
  <c r="AI487" i="5"/>
  <c r="AI148" i="5"/>
  <c r="AH458" i="5"/>
  <c r="AI294" i="5"/>
  <c r="AH19" i="5"/>
  <c r="AH469" i="5"/>
  <c r="AH429" i="5"/>
  <c r="AH59" i="5"/>
  <c r="AH50" i="5"/>
  <c r="AH115" i="5"/>
  <c r="AI180" i="5"/>
  <c r="AI196" i="5"/>
  <c r="AI293" i="5"/>
  <c r="AN159" i="5"/>
  <c r="AN298" i="5"/>
  <c r="AO520" i="5"/>
  <c r="AN556" i="5"/>
  <c r="AO359" i="5"/>
  <c r="AN222" i="5"/>
  <c r="AO370" i="5"/>
  <c r="AH121" i="5"/>
  <c r="AH389" i="5"/>
  <c r="AJ12" i="5"/>
  <c r="AK12" i="5" s="1"/>
  <c r="AO139" i="5"/>
  <c r="AO497" i="5"/>
  <c r="AN164" i="5"/>
  <c r="AH183" i="5"/>
  <c r="AH151" i="5"/>
  <c r="AO463" i="5"/>
  <c r="AN514" i="5"/>
  <c r="AN458" i="5"/>
  <c r="AO32" i="5"/>
  <c r="AN495" i="5"/>
  <c r="AN369" i="5"/>
  <c r="AO285" i="5"/>
  <c r="AO500" i="5"/>
  <c r="AH154" i="5"/>
  <c r="AN261" i="5"/>
  <c r="AN92" i="5"/>
  <c r="AO80" i="5"/>
  <c r="AH375" i="5"/>
  <c r="AH220" i="5"/>
  <c r="AI357" i="5"/>
  <c r="AH279" i="5"/>
  <c r="AH490" i="5"/>
  <c r="AI484" i="5"/>
  <c r="AH500" i="5"/>
  <c r="AH432" i="5"/>
  <c r="AH524" i="5"/>
  <c r="AI455" i="5"/>
  <c r="AI77" i="5"/>
  <c r="AI456" i="5"/>
  <c r="AH32" i="5"/>
  <c r="AL147" i="5"/>
  <c r="AI129" i="5"/>
  <c r="AH47" i="5"/>
  <c r="AH495" i="5"/>
  <c r="AH245" i="5"/>
  <c r="AH273" i="5"/>
  <c r="AH350" i="5"/>
  <c r="AI261" i="5"/>
  <c r="AI444" i="5"/>
  <c r="AI398" i="5"/>
  <c r="AI143" i="5"/>
  <c r="AH113" i="5"/>
  <c r="AH232" i="5"/>
  <c r="AH556" i="5"/>
  <c r="AI552" i="5"/>
  <c r="AI296" i="5"/>
  <c r="AH140" i="5"/>
  <c r="AH162" i="5"/>
  <c r="AH299" i="5"/>
  <c r="AH228" i="5"/>
  <c r="AI179" i="5"/>
  <c r="AH170" i="5"/>
  <c r="AH114" i="5"/>
  <c r="AH309" i="5"/>
  <c r="AH407" i="5"/>
  <c r="AI550" i="5"/>
  <c r="AK153" i="5"/>
  <c r="AH212" i="5"/>
  <c r="AI405" i="5"/>
  <c r="AI109" i="5"/>
  <c r="AH333" i="5"/>
  <c r="AI69" i="5"/>
  <c r="AI262" i="5"/>
  <c r="AH58" i="5"/>
  <c r="AI300" i="5"/>
  <c r="AH560" i="5"/>
  <c r="AI231" i="5"/>
  <c r="AH505" i="5"/>
  <c r="AO335" i="5"/>
  <c r="AN354" i="5"/>
  <c r="AO484" i="5"/>
  <c r="AN23" i="5"/>
  <c r="AO434" i="5"/>
  <c r="AO41" i="5"/>
  <c r="AO418" i="5"/>
  <c r="AO238" i="5"/>
  <c r="AO219" i="5"/>
  <c r="AN324" i="5"/>
  <c r="AN103" i="5"/>
  <c r="AO69" i="5"/>
  <c r="AO533" i="5"/>
  <c r="AO477" i="5"/>
  <c r="AN472" i="5"/>
  <c r="AN395" i="5"/>
  <c r="AO547" i="5"/>
  <c r="AO338" i="5"/>
  <c r="AN392" i="5"/>
  <c r="AN62" i="5"/>
  <c r="AO394" i="5"/>
  <c r="AO426" i="5"/>
  <c r="AN485" i="5"/>
  <c r="AN348" i="5"/>
  <c r="AN554" i="5"/>
  <c r="AN200" i="5"/>
  <c r="AO93" i="5"/>
  <c r="AN235" i="5"/>
  <c r="AN438" i="5"/>
  <c r="AO189" i="5"/>
  <c r="AN83" i="5"/>
  <c r="AN68" i="5"/>
  <c r="AO325" i="5"/>
  <c r="AO185" i="5"/>
  <c r="AN328" i="5"/>
  <c r="AN70" i="5"/>
  <c r="AO42" i="5"/>
  <c r="AO367" i="5"/>
  <c r="AO45" i="5"/>
  <c r="AN286" i="5"/>
  <c r="AO105" i="5"/>
  <c r="AL283" i="5"/>
  <c r="AO356" i="5"/>
  <c r="AN71" i="5"/>
  <c r="AO419" i="5"/>
  <c r="AO380" i="5"/>
  <c r="AO142" i="5"/>
  <c r="AN135" i="5"/>
  <c r="AO465" i="5"/>
  <c r="AH473" i="5"/>
  <c r="AO141" i="5"/>
  <c r="AN362" i="5"/>
  <c r="AN262" i="5"/>
  <c r="AI132" i="5"/>
  <c r="AH328" i="5"/>
  <c r="AO455" i="5"/>
  <c r="AH8" i="5"/>
  <c r="AO473" i="5"/>
  <c r="AO87" i="5"/>
  <c r="AO422" i="5"/>
  <c r="AO149" i="5"/>
  <c r="AO282" i="5"/>
  <c r="AO459" i="5"/>
  <c r="AI176" i="5"/>
  <c r="AO493" i="5"/>
  <c r="AN389" i="5"/>
  <c r="AI281" i="5"/>
  <c r="AH462" i="5"/>
  <c r="AN115" i="5"/>
  <c r="AO302" i="5"/>
  <c r="AO410" i="5"/>
  <c r="AH110" i="5"/>
  <c r="AH274" i="5"/>
  <c r="AN169" i="5"/>
  <c r="AO549" i="5"/>
  <c r="AO360" i="5"/>
  <c r="AI545" i="5"/>
  <c r="AN174" i="5"/>
  <c r="AI181" i="5"/>
  <c r="AN96" i="5"/>
  <c r="AN82" i="5"/>
  <c r="AH284" i="5"/>
  <c r="AN172" i="5"/>
  <c r="AN445" i="5"/>
  <c r="AI558" i="5"/>
  <c r="AI31" i="5"/>
  <c r="AO263" i="5"/>
  <c r="AO85" i="5"/>
  <c r="AO390" i="5"/>
  <c r="AI516" i="5"/>
  <c r="AI244" i="5"/>
  <c r="AI190" i="5"/>
  <c r="AO476" i="5"/>
  <c r="AI256" i="5"/>
  <c r="AN162" i="5"/>
  <c r="AH164" i="5"/>
  <c r="AI34" i="5"/>
  <c r="AN352" i="5"/>
  <c r="AI208" i="5"/>
  <c r="AH120" i="5"/>
  <c r="AN385" i="5"/>
  <c r="AO521" i="5"/>
  <c r="AI105" i="5"/>
  <c r="AI137" i="5"/>
  <c r="AH197" i="5"/>
  <c r="AI254" i="5"/>
  <c r="AI427" i="5"/>
  <c r="AH85" i="5"/>
  <c r="AN112" i="5"/>
  <c r="AH141" i="5"/>
  <c r="AN287" i="5"/>
  <c r="AO340" i="5"/>
  <c r="AH467" i="5"/>
  <c r="AN176" i="5"/>
  <c r="AN127" i="5"/>
  <c r="AN431" i="5"/>
  <c r="AN198" i="5"/>
  <c r="AI493" i="5"/>
  <c r="AI363" i="5"/>
  <c r="AO314" i="5"/>
  <c r="AO404" i="5"/>
  <c r="AH321" i="5"/>
  <c r="AH285" i="5"/>
  <c r="AN27" i="5"/>
  <c r="AO527" i="5"/>
  <c r="AO97" i="5"/>
  <c r="AH555" i="5"/>
  <c r="AI204" i="5"/>
  <c r="AH215" i="5"/>
  <c r="AI224" i="5"/>
  <c r="AI90" i="5"/>
  <c r="AH515" i="5"/>
  <c r="AH315" i="5"/>
  <c r="AH526" i="5"/>
  <c r="AH476" i="5"/>
  <c r="AH291" i="5"/>
  <c r="AI506" i="5"/>
  <c r="AH530" i="5"/>
  <c r="AI152" i="5"/>
  <c r="AH415" i="5"/>
  <c r="AH236" i="5"/>
  <c r="AI54" i="5"/>
  <c r="AH396" i="5"/>
  <c r="AH394" i="5"/>
  <c r="AH260" i="5"/>
  <c r="AI497" i="5"/>
  <c r="AH416" i="5"/>
  <c r="AH319" i="5"/>
  <c r="AH519" i="5"/>
  <c r="AH106" i="5"/>
  <c r="AI116" i="5"/>
  <c r="AH393" i="5"/>
  <c r="AI186" i="5"/>
  <c r="AI153" i="5"/>
  <c r="AH101" i="5"/>
  <c r="AH334" i="5"/>
  <c r="AI187" i="5"/>
  <c r="AH323" i="5"/>
  <c r="AH411" i="5"/>
  <c r="AH246" i="5"/>
  <c r="AH268" i="5"/>
  <c r="AI330" i="5"/>
  <c r="AH349" i="5"/>
  <c r="AI445" i="5"/>
  <c r="AI413" i="5"/>
  <c r="AI249" i="5"/>
  <c r="AH266" i="5"/>
  <c r="AH414" i="5"/>
  <c r="AH501" i="5"/>
  <c r="AI198" i="5"/>
  <c r="AI130" i="5"/>
  <c r="AH454" i="5"/>
  <c r="AH112" i="5"/>
  <c r="AI351" i="5"/>
  <c r="AH122" i="5"/>
  <c r="AI275" i="5"/>
  <c r="AO505" i="5"/>
  <c r="AO206" i="5"/>
  <c r="AP169" i="5"/>
  <c r="AR169" i="5" s="1"/>
  <c r="AP43" i="5"/>
  <c r="AR43" i="5" s="1"/>
  <c r="AP147" i="5"/>
  <c r="AQ147" i="5" s="1"/>
  <c r="AL43" i="5"/>
  <c r="AN111" i="5"/>
  <c r="AO130" i="5"/>
  <c r="AO53" i="5"/>
  <c r="AO304" i="5"/>
  <c r="AN383" i="5"/>
  <c r="AN532" i="5"/>
  <c r="AN152" i="5"/>
  <c r="AO125" i="5"/>
  <c r="AG12" i="5"/>
  <c r="AI12" i="5" s="1"/>
  <c r="AM12" i="5"/>
  <c r="AN475" i="5"/>
  <c r="AN33" i="5"/>
  <c r="T12" i="5"/>
  <c r="AL273" i="5"/>
  <c r="AO128" i="5"/>
  <c r="AN442" i="5"/>
  <c r="AN40" i="5"/>
  <c r="W12" i="5"/>
  <c r="Y12" i="5" s="1"/>
  <c r="AN25" i="5"/>
  <c r="AN233" i="5"/>
  <c r="AH288" i="5"/>
  <c r="AI537" i="5"/>
  <c r="AI308" i="5"/>
  <c r="AH442" i="5"/>
  <c r="AH160" i="5"/>
  <c r="AH423" i="5"/>
  <c r="AH474" i="5"/>
  <c r="AI213" i="5"/>
  <c r="AI94" i="5"/>
  <c r="AI533" i="5"/>
  <c r="AK51" i="5"/>
  <c r="AH482" i="5"/>
  <c r="AI23" i="5"/>
  <c r="AI240" i="5"/>
  <c r="AH157" i="5"/>
  <c r="AI146" i="5"/>
  <c r="AK169" i="5"/>
  <c r="AI408" i="5"/>
  <c r="AH391" i="5"/>
  <c r="AH27" i="5"/>
  <c r="AI532" i="5"/>
  <c r="AH193" i="5"/>
  <c r="AI60" i="5"/>
  <c r="AH159" i="5"/>
  <c r="AP51" i="5"/>
  <c r="AR51" i="5" s="1"/>
  <c r="AP283" i="5"/>
  <c r="AQ283" i="5" s="1"/>
  <c r="AI327" i="5"/>
  <c r="AH202" i="5"/>
  <c r="AI62" i="5"/>
  <c r="AH371" i="5"/>
  <c r="AI310" i="5"/>
  <c r="AH446" i="5"/>
  <c r="AH316" i="5"/>
  <c r="AH403" i="5"/>
  <c r="AI385" i="5"/>
  <c r="AH465" i="5"/>
  <c r="AI161" i="5"/>
  <c r="AH297" i="5"/>
  <c r="AI265" i="5"/>
  <c r="AH218" i="5"/>
  <c r="AH89" i="5"/>
  <c r="AH538" i="5"/>
  <c r="AH547" i="5"/>
  <c r="AI534" i="5"/>
  <c r="AH441" i="5"/>
  <c r="AH156" i="5"/>
  <c r="AI242" i="5"/>
  <c r="AI489" i="5"/>
  <c r="AH539" i="5"/>
  <c r="AI73" i="5"/>
  <c r="AI248" i="5"/>
  <c r="AH366" i="5"/>
  <c r="AI345" i="5"/>
  <c r="AH406" i="5"/>
  <c r="AI464" i="5"/>
  <c r="AI448" i="5"/>
  <c r="AI174" i="5"/>
  <c r="AH269" i="5"/>
  <c r="AI20" i="5"/>
  <c r="AI365" i="5"/>
  <c r="AI214" i="5"/>
  <c r="AI184" i="5"/>
  <c r="AH304" i="5"/>
  <c r="AP521" i="5"/>
  <c r="AQ521" i="5" s="1"/>
  <c r="AH542" i="5"/>
  <c r="AH356" i="5"/>
  <c r="AN207" i="5"/>
  <c r="AN341" i="5"/>
  <c r="AO490" i="5"/>
  <c r="AO281" i="5"/>
  <c r="AO326" i="5"/>
  <c r="AO518" i="5"/>
  <c r="AO551" i="5"/>
  <c r="AN136" i="5"/>
  <c r="AN221" i="5"/>
  <c r="AO506" i="5"/>
  <c r="AN347" i="5"/>
  <c r="AO155" i="5"/>
  <c r="AN163" i="5"/>
  <c r="AO260" i="5"/>
  <c r="AO89" i="5"/>
  <c r="AN137" i="5"/>
  <c r="AO256" i="5"/>
  <c r="AP227" i="5"/>
  <c r="AR227" i="5" s="1"/>
  <c r="AO168" i="5"/>
  <c r="AN50" i="5"/>
  <c r="AO349" i="5"/>
  <c r="AN265" i="5"/>
  <c r="AN355" i="5"/>
  <c r="AO223" i="5"/>
  <c r="AO160" i="5"/>
  <c r="AN232" i="5"/>
  <c r="AH383" i="5"/>
  <c r="AN98" i="5"/>
  <c r="AN435" i="5"/>
  <c r="AO536" i="5"/>
  <c r="AO113" i="5"/>
  <c r="AO145" i="5"/>
  <c r="AI227" i="5"/>
  <c r="AI49" i="5"/>
  <c r="AI86" i="5"/>
  <c r="AI433" i="5"/>
  <c r="AI336" i="5"/>
  <c r="AN546" i="5"/>
  <c r="AO234" i="5"/>
  <c r="AN211" i="5"/>
  <c r="AN224" i="5"/>
  <c r="AN311" i="5"/>
  <c r="AN178" i="5"/>
  <c r="AN492" i="5"/>
  <c r="AN43" i="5"/>
  <c r="AH549" i="5"/>
  <c r="AI518" i="5"/>
  <c r="AI475" i="5"/>
  <c r="AH475" i="5"/>
  <c r="AH324" i="5"/>
  <c r="AH216" i="5"/>
  <c r="AI36" i="5"/>
  <c r="AI136" i="5"/>
  <c r="AH343" i="5"/>
  <c r="AH123" i="5"/>
  <c r="AH353" i="5"/>
  <c r="AH301" i="5"/>
  <c r="AH402" i="5"/>
  <c r="AI384" i="5"/>
  <c r="AI380" i="5"/>
  <c r="AP26" i="5"/>
  <c r="AR26" i="5" s="1"/>
  <c r="AP379" i="5"/>
  <c r="AQ379" i="5" s="1"/>
  <c r="AI65" i="5"/>
  <c r="AI332" i="5"/>
  <c r="AI517" i="5"/>
  <c r="AH118" i="5"/>
  <c r="AH523" i="5"/>
  <c r="AH451" i="5"/>
  <c r="AL379" i="5"/>
  <c r="AK307" i="5"/>
  <c r="AI472" i="5"/>
  <c r="AI320" i="5"/>
  <c r="AI63" i="5"/>
  <c r="AH57" i="5"/>
  <c r="AI167" i="5"/>
  <c r="AH225" i="5"/>
  <c r="AH235" i="5"/>
  <c r="AI478" i="5"/>
  <c r="AH185" i="5"/>
  <c r="AH33" i="5"/>
  <c r="AH483" i="5"/>
  <c r="AI39" i="5"/>
  <c r="AH76" i="5"/>
  <c r="AI453" i="5"/>
  <c r="AH339" i="5"/>
  <c r="AL465" i="5"/>
  <c r="AP234" i="5"/>
  <c r="AR234" i="5" s="1"/>
  <c r="AP383" i="5"/>
  <c r="AQ383" i="5" s="1"/>
  <c r="AI155" i="5"/>
  <c r="AH395" i="5"/>
  <c r="AI303" i="5"/>
  <c r="AH243" i="5"/>
  <c r="AI508" i="5"/>
  <c r="AI206" i="5"/>
  <c r="AH511" i="5"/>
  <c r="AI511" i="5"/>
  <c r="AI298" i="5"/>
  <c r="AH298" i="5"/>
  <c r="AI387" i="5"/>
  <c r="AL187" i="5"/>
  <c r="AI287" i="5"/>
  <c r="AI439" i="5"/>
  <c r="AH400" i="5"/>
  <c r="AH459" i="5"/>
  <c r="AI203" i="5"/>
  <c r="AI88" i="5"/>
  <c r="AI61" i="5"/>
  <c r="AH67" i="5"/>
  <c r="AI67" i="5"/>
  <c r="AI435" i="5"/>
  <c r="AH435" i="5"/>
  <c r="AI292" i="5"/>
  <c r="AH292" i="5"/>
  <c r="AP394" i="5"/>
  <c r="AQ394" i="5" s="1"/>
  <c r="AP270" i="5"/>
  <c r="AQ270" i="5" s="1"/>
  <c r="AP148" i="5"/>
  <c r="AQ148" i="5" s="1"/>
  <c r="AP510" i="5"/>
  <c r="AQ510" i="5" s="1"/>
  <c r="AH436" i="5"/>
  <c r="AH440" i="5"/>
  <c r="AI554" i="5"/>
  <c r="AH200" i="5"/>
  <c r="AI401" i="5"/>
  <c r="AH145" i="5"/>
  <c r="AH317" i="5"/>
  <c r="AI271" i="5"/>
  <c r="AH503" i="5"/>
  <c r="AI503" i="5"/>
  <c r="AH124" i="5"/>
  <c r="AI124" i="5"/>
  <c r="AI139" i="5"/>
  <c r="AH409" i="5"/>
  <c r="AH373" i="5"/>
  <c r="AI207" i="5"/>
  <c r="AI163" i="5"/>
  <c r="AH247" i="5"/>
  <c r="AI247" i="5"/>
  <c r="AH125" i="5"/>
  <c r="AI125" i="5"/>
  <c r="AI514" i="5"/>
  <c r="AH514" i="5"/>
  <c r="AO26" i="5"/>
  <c r="AO122" i="5"/>
  <c r="AO38" i="5"/>
  <c r="AP465" i="5"/>
  <c r="AQ465" i="5" s="1"/>
  <c r="AP109" i="5"/>
  <c r="AR109" i="5" s="1"/>
  <c r="AO320" i="5"/>
  <c r="AO131" i="5"/>
  <c r="AK483" i="5"/>
  <c r="AO537" i="5"/>
  <c r="AN157" i="5"/>
  <c r="AN294" i="5"/>
  <c r="AO365" i="5"/>
  <c r="AN249" i="5"/>
  <c r="AO109" i="5"/>
  <c r="AN129" i="5"/>
  <c r="AN179" i="5"/>
  <c r="AH46" i="5"/>
  <c r="AH107" i="5"/>
  <c r="AI481" i="5"/>
  <c r="AH481" i="5"/>
  <c r="AN194" i="5"/>
  <c r="AO274" i="5"/>
  <c r="AO192" i="5"/>
  <c r="AO512" i="5"/>
  <c r="AO498" i="5"/>
  <c r="AO197" i="5"/>
  <c r="AO372" i="5"/>
  <c r="AO436" i="5"/>
  <c r="AN72" i="5"/>
  <c r="AN312" i="5"/>
  <c r="AO481" i="5"/>
  <c r="AO28" i="5"/>
  <c r="AP307" i="5"/>
  <c r="AR307" i="5" s="1"/>
  <c r="AP202" i="5"/>
  <c r="AQ202" i="5" s="1"/>
  <c r="AP548" i="5"/>
  <c r="AR548" i="5" s="1"/>
  <c r="AP187" i="5"/>
  <c r="AR187" i="5" s="1"/>
  <c r="AN47" i="5"/>
  <c r="AN220" i="5"/>
  <c r="AO228" i="5"/>
  <c r="AN430" i="5"/>
  <c r="AO186" i="5"/>
  <c r="AO322" i="5"/>
  <c r="AN334" i="5"/>
  <c r="AN231" i="5"/>
  <c r="AO278" i="5"/>
  <c r="AO243" i="5"/>
  <c r="AO299" i="5"/>
  <c r="AO552" i="5"/>
  <c r="AO210" i="5"/>
  <c r="AN318" i="5"/>
  <c r="AK539" i="5"/>
  <c r="AN538" i="5"/>
  <c r="AO409" i="5"/>
  <c r="AO156" i="5"/>
  <c r="AO343" i="5"/>
  <c r="AO488" i="5"/>
  <c r="AO147" i="5"/>
  <c r="AI172" i="5"/>
  <c r="AH471" i="5"/>
  <c r="AI471" i="5"/>
  <c r="AH74" i="5"/>
  <c r="AI74" i="5"/>
  <c r="AI230" i="5"/>
  <c r="AH230" i="5"/>
  <c r="AH367" i="5"/>
  <c r="AI367" i="5"/>
  <c r="AI311" i="5"/>
  <c r="AH311" i="5"/>
  <c r="AH195" i="5"/>
  <c r="AI195" i="5"/>
  <c r="AI282" i="5"/>
  <c r="AH282" i="5"/>
  <c r="AP552" i="5"/>
  <c r="AR552" i="5" s="1"/>
  <c r="AP176" i="5"/>
  <c r="AQ176" i="5" s="1"/>
  <c r="AP222" i="5"/>
  <c r="AQ222" i="5" s="1"/>
  <c r="AP133" i="5"/>
  <c r="AR133" i="5" s="1"/>
  <c r="AP281" i="5"/>
  <c r="AQ281" i="5" s="1"/>
  <c r="AP539" i="5"/>
  <c r="AR539" i="5" s="1"/>
  <c r="AN259" i="5"/>
  <c r="AI75" i="5"/>
  <c r="AO283" i="5"/>
  <c r="AP129" i="5"/>
  <c r="AQ129" i="5" s="1"/>
  <c r="AP192" i="5"/>
  <c r="AR192" i="5" s="1"/>
  <c r="AP516" i="5"/>
  <c r="AQ516" i="5" s="1"/>
  <c r="AP382" i="5"/>
  <c r="AQ382" i="5" s="1"/>
  <c r="AP141" i="5"/>
  <c r="AR141" i="5" s="1"/>
  <c r="AP356" i="5"/>
  <c r="AQ356" i="5" s="1"/>
  <c r="AP386" i="5"/>
  <c r="AQ386" i="5" s="1"/>
  <c r="AP437" i="5"/>
  <c r="AQ437" i="5" s="1"/>
  <c r="AS45" i="4"/>
  <c r="U54" i="4"/>
  <c r="AH54" i="4" s="1"/>
  <c r="U80" i="4"/>
  <c r="AH80" i="4" s="1"/>
  <c r="U152" i="4"/>
  <c r="AH152" i="4" s="1"/>
  <c r="AS66" i="4"/>
  <c r="V136" i="4"/>
  <c r="AM136" i="4" s="1"/>
  <c r="AN136" i="4" s="1"/>
  <c r="V80" i="4"/>
  <c r="AM80" i="4" s="1"/>
  <c r="AN80" i="4" s="1"/>
  <c r="V138" i="4"/>
  <c r="AM138" i="4" s="1"/>
  <c r="AN138" i="4" s="1"/>
  <c r="B32" i="2"/>
  <c r="AS81" i="4"/>
  <c r="U135" i="4"/>
  <c r="AH135" i="4" s="1"/>
  <c r="AS104" i="4"/>
  <c r="AS136" i="4"/>
  <c r="U154" i="4"/>
  <c r="AH154" i="4" s="1"/>
  <c r="AS138" i="4"/>
  <c r="AS43" i="4"/>
  <c r="AS129" i="4"/>
  <c r="U72" i="4"/>
  <c r="AH72" i="4" s="1"/>
  <c r="AS8" i="4"/>
  <c r="U108" i="4"/>
  <c r="AH108" i="4" s="1"/>
  <c r="U96" i="4"/>
  <c r="AH96" i="4" s="1"/>
  <c r="U58" i="4"/>
  <c r="U28" i="4"/>
  <c r="AH28" i="4" s="1"/>
  <c r="V42" i="4"/>
  <c r="W42" i="4" s="1"/>
  <c r="Y42" i="4" s="1"/>
  <c r="V154" i="4"/>
  <c r="AM154" i="4" s="1"/>
  <c r="AN154" i="4" s="1"/>
  <c r="U120" i="4"/>
  <c r="AH120" i="4" s="1"/>
  <c r="AS82" i="4"/>
  <c r="AS22" i="4"/>
  <c r="U8" i="4"/>
  <c r="AH8" i="4" s="1"/>
  <c r="V54" i="4"/>
  <c r="AM54" i="4" s="1"/>
  <c r="AN54" i="4" s="1"/>
  <c r="B28" i="2"/>
  <c r="U104" i="4"/>
  <c r="AH104" i="4" s="1"/>
  <c r="V28" i="4"/>
  <c r="AM28" i="4" s="1"/>
  <c r="AN28" i="4" s="1"/>
  <c r="U33" i="4"/>
  <c r="U15" i="4"/>
  <c r="AH15" i="4" s="1"/>
  <c r="U56" i="4"/>
  <c r="AH56" i="4" s="1"/>
  <c r="U138" i="4"/>
  <c r="AH138" i="4" s="1"/>
  <c r="AS120" i="4"/>
  <c r="V81" i="4"/>
  <c r="AM81" i="4" s="1"/>
  <c r="AN81" i="4" s="1"/>
  <c r="V82" i="4"/>
  <c r="W82" i="4" s="1"/>
  <c r="Y82" i="4" s="1"/>
  <c r="AS108" i="4"/>
  <c r="V104" i="4"/>
  <c r="W104" i="4" s="1"/>
  <c r="Y104" i="4" s="1"/>
  <c r="U136" i="4"/>
  <c r="AH136" i="4" s="1"/>
  <c r="AS28" i="4"/>
  <c r="V149" i="4"/>
  <c r="AM149" i="4" s="1"/>
  <c r="AN149" i="4" s="1"/>
  <c r="AS80" i="4"/>
  <c r="AS154" i="4"/>
  <c r="U121" i="4"/>
  <c r="AH121" i="4" s="1"/>
  <c r="V120" i="4"/>
  <c r="AM120" i="4" s="1"/>
  <c r="AN120" i="4" s="1"/>
  <c r="U81" i="4"/>
  <c r="AH81" i="4" s="1"/>
  <c r="U82" i="4"/>
  <c r="AH82" i="4" s="1"/>
  <c r="AS148" i="4"/>
  <c r="V45" i="4"/>
  <c r="W45" i="4" s="1"/>
  <c r="V8" i="4"/>
  <c r="AM8" i="4" s="1"/>
  <c r="AN8" i="4" s="1"/>
  <c r="V108" i="4"/>
  <c r="AM108" i="4" s="1"/>
  <c r="AN108" i="4" s="1"/>
  <c r="AS54" i="4"/>
  <c r="U45" i="4"/>
  <c r="AH45" i="4" s="1"/>
  <c r="V98" i="4"/>
  <c r="W98" i="4" s="1"/>
  <c r="Y98" i="4" s="1"/>
  <c r="AS153" i="4"/>
  <c r="AS27" i="4"/>
  <c r="V78" i="4"/>
  <c r="AM78" i="4" s="1"/>
  <c r="AN78" i="4" s="1"/>
  <c r="AS88" i="4"/>
  <c r="U60" i="4"/>
  <c r="AH60" i="4" s="1"/>
  <c r="AS92" i="4"/>
  <c r="V93" i="4"/>
  <c r="AM93" i="4" s="1"/>
  <c r="AN93" i="4" s="1"/>
  <c r="AS139" i="4"/>
  <c r="U137" i="4"/>
  <c r="AH137" i="4" s="1"/>
  <c r="U139" i="4"/>
  <c r="AH139" i="4" s="1"/>
  <c r="AS89" i="4"/>
  <c r="U85" i="4"/>
  <c r="AH85" i="4" s="1"/>
  <c r="V44" i="4"/>
  <c r="W44" i="4" s="1"/>
  <c r="Y44" i="4" s="1"/>
  <c r="AS40" i="4"/>
  <c r="V27" i="4"/>
  <c r="AM27" i="4" s="1"/>
  <c r="AN27" i="4" s="1"/>
  <c r="AS17" i="4"/>
  <c r="V89" i="4"/>
  <c r="AM89" i="4" s="1"/>
  <c r="AN89" i="4" s="1"/>
  <c r="V88" i="4"/>
  <c r="W88" i="4" s="1"/>
  <c r="Y88" i="4" s="1"/>
  <c r="U151" i="4"/>
  <c r="AH151" i="4" s="1"/>
  <c r="V85" i="4"/>
  <c r="AM85" i="4" s="1"/>
  <c r="AN85" i="4" s="1"/>
  <c r="V40" i="4"/>
  <c r="AM40" i="4" s="1"/>
  <c r="AN40" i="4" s="1"/>
  <c r="U78" i="4"/>
  <c r="AH78" i="4" s="1"/>
  <c r="U153" i="4"/>
  <c r="AH153" i="4" s="1"/>
  <c r="AS151" i="4"/>
  <c r="V137" i="4"/>
  <c r="AM137" i="4" s="1"/>
  <c r="AN137" i="4" s="1"/>
  <c r="U93" i="4"/>
  <c r="AH93" i="4" s="1"/>
  <c r="V23" i="4"/>
  <c r="AM23" i="4" s="1"/>
  <c r="AN23" i="4" s="1"/>
  <c r="U40" i="4"/>
  <c r="AH40" i="4" s="1"/>
  <c r="U116" i="5"/>
  <c r="U96" i="5"/>
  <c r="U277" i="5"/>
  <c r="V71" i="5"/>
  <c r="U129" i="5"/>
  <c r="V122" i="5"/>
  <c r="U78" i="5"/>
  <c r="U42" i="5"/>
  <c r="U81" i="5"/>
  <c r="V113" i="5"/>
  <c r="V197" i="5"/>
  <c r="U178" i="5"/>
  <c r="V213" i="5"/>
  <c r="V131" i="4"/>
  <c r="AM131" i="4" s="1"/>
  <c r="AN131" i="4" s="1"/>
  <c r="U26" i="4"/>
  <c r="AH26" i="4" s="1"/>
  <c r="AN8" i="5"/>
  <c r="U146" i="4"/>
  <c r="AH146" i="4" s="1"/>
  <c r="V17" i="4"/>
  <c r="AM17" i="4" s="1"/>
  <c r="AN17" i="4" s="1"/>
  <c r="U89" i="4"/>
  <c r="AH89" i="4" s="1"/>
  <c r="AS78" i="4"/>
  <c r="V153" i="4"/>
  <c r="AM153" i="4" s="1"/>
  <c r="AN153" i="4" s="1"/>
  <c r="V151" i="4"/>
  <c r="W151" i="4" s="1"/>
  <c r="Y151" i="4" s="1"/>
  <c r="V92" i="4"/>
  <c r="AM92" i="4" s="1"/>
  <c r="AN92" i="4" s="1"/>
  <c r="AS85" i="4"/>
  <c r="AS134" i="4"/>
  <c r="U126" i="4"/>
  <c r="AH126" i="4" s="1"/>
  <c r="AS128" i="4"/>
  <c r="AS93" i="4"/>
  <c r="U23" i="4"/>
  <c r="AH23" i="4" s="1"/>
  <c r="U44" i="4"/>
  <c r="AH44" i="4" s="1"/>
  <c r="AS102" i="4"/>
  <c r="AS117" i="4"/>
  <c r="V139" i="4"/>
  <c r="AM139" i="4" s="1"/>
  <c r="AN139" i="4" s="1"/>
  <c r="U17" i="4"/>
  <c r="AH17" i="4" s="1"/>
  <c r="V87" i="4"/>
  <c r="W87" i="4" s="1"/>
  <c r="Y87" i="4" s="1"/>
  <c r="AS16" i="4"/>
  <c r="U131" i="4"/>
  <c r="AH131" i="4" s="1"/>
  <c r="U88" i="4"/>
  <c r="AH88" i="4" s="1"/>
  <c r="U92" i="4"/>
  <c r="AH92" i="4" s="1"/>
  <c r="U11" i="4"/>
  <c r="AH11" i="4" s="1"/>
  <c r="AS86" i="4"/>
  <c r="AS23" i="4"/>
  <c r="AS44" i="4"/>
  <c r="U27" i="4"/>
  <c r="AH27" i="4" s="1"/>
  <c r="AS24" i="4"/>
  <c r="AP540" i="5"/>
  <c r="AR540" i="5" s="1"/>
  <c r="AP313" i="5"/>
  <c r="AR313" i="5" s="1"/>
  <c r="S526" i="5"/>
  <c r="AO209" i="5"/>
  <c r="AN462" i="5"/>
  <c r="AP371" i="5"/>
  <c r="AR371" i="5" s="1"/>
  <c r="AN240" i="5"/>
  <c r="V219" i="5"/>
  <c r="AN467" i="5"/>
  <c r="AS126" i="4"/>
  <c r="U38" i="4"/>
  <c r="AH38" i="4" s="1"/>
  <c r="V102" i="4"/>
  <c r="W102" i="4" s="1"/>
  <c r="Y102" i="4" s="1"/>
  <c r="AO58" i="5"/>
  <c r="AN61" i="5"/>
  <c r="U77" i="5"/>
  <c r="AO132" i="5"/>
  <c r="AO114" i="5"/>
  <c r="AO106" i="5"/>
  <c r="V49" i="4"/>
  <c r="W49" i="4" s="1"/>
  <c r="Y49" i="4" s="1"/>
  <c r="V47" i="4"/>
  <c r="AM47" i="4" s="1"/>
  <c r="AN47" i="4" s="1"/>
  <c r="AO433" i="5"/>
  <c r="U71" i="4"/>
  <c r="AH71" i="4" s="1"/>
  <c r="V91" i="4"/>
  <c r="AM91" i="4" s="1"/>
  <c r="AN91" i="4" s="1"/>
  <c r="V127" i="4"/>
  <c r="AM127" i="4" s="1"/>
  <c r="AN127" i="4" s="1"/>
  <c r="AS38" i="4"/>
  <c r="U141" i="4"/>
  <c r="AH141" i="4" s="1"/>
  <c r="U73" i="4"/>
  <c r="AH73" i="4" s="1"/>
  <c r="V29" i="4"/>
  <c r="AM29" i="4" s="1"/>
  <c r="AN29" i="4" s="1"/>
  <c r="AL371" i="5"/>
  <c r="AN81" i="5"/>
  <c r="AS97" i="4"/>
  <c r="U49" i="4"/>
  <c r="AH49" i="4" s="1"/>
  <c r="U86" i="5"/>
  <c r="AS47" i="4"/>
  <c r="AS71" i="4"/>
  <c r="AS111" i="4"/>
  <c r="U70" i="4"/>
  <c r="AH70" i="4" s="1"/>
  <c r="U127" i="4"/>
  <c r="AH127" i="4" s="1"/>
  <c r="V38" i="4"/>
  <c r="AM38" i="4" s="1"/>
  <c r="AN38" i="4" s="1"/>
  <c r="V136" i="5"/>
  <c r="AO491" i="5"/>
  <c r="AS11" i="4"/>
  <c r="V182" i="5"/>
  <c r="U29" i="4"/>
  <c r="AH29" i="4" s="1"/>
  <c r="AO24" i="5"/>
  <c r="AN384" i="5"/>
  <c r="AN444" i="5"/>
  <c r="AO447" i="5"/>
  <c r="AS49" i="4"/>
  <c r="V116" i="4"/>
  <c r="W116" i="4" s="1"/>
  <c r="V111" i="4"/>
  <c r="AM111" i="4" s="1"/>
  <c r="AN111" i="4" s="1"/>
  <c r="AN140" i="5"/>
  <c r="U100" i="4"/>
  <c r="AH100" i="4" s="1"/>
  <c r="AN267" i="5"/>
  <c r="AO555" i="5"/>
  <c r="V18" i="4"/>
  <c r="AM18" i="4" s="1"/>
  <c r="AN18" i="4" s="1"/>
  <c r="V97" i="4"/>
  <c r="W97" i="4" s="1"/>
  <c r="Y97" i="4" s="1"/>
  <c r="AS29" i="4"/>
  <c r="AO550" i="5"/>
  <c r="AP166" i="5"/>
  <c r="AQ166" i="5" s="1"/>
  <c r="AP65" i="5"/>
  <c r="AQ65" i="5" s="1"/>
  <c r="U55" i="4"/>
  <c r="AN396" i="5"/>
  <c r="U97" i="4"/>
  <c r="AH97" i="4" s="1"/>
  <c r="V167" i="5"/>
  <c r="AN412" i="5"/>
  <c r="AO450" i="5"/>
  <c r="U116" i="4"/>
  <c r="AH116" i="4" s="1"/>
  <c r="U30" i="4"/>
  <c r="AH30" i="4" s="1"/>
  <c r="U111" i="4"/>
  <c r="AH111" i="4" s="1"/>
  <c r="AS100" i="4"/>
  <c r="AO504" i="5"/>
  <c r="AN65" i="5"/>
  <c r="AO49" i="5"/>
  <c r="AN557" i="5"/>
  <c r="Y365" i="5"/>
  <c r="U76" i="4"/>
  <c r="AH76" i="4" s="1"/>
  <c r="AP491" i="5"/>
  <c r="AR491" i="5" s="1"/>
  <c r="AS55" i="4"/>
  <c r="AO116" i="5"/>
  <c r="V103" i="5"/>
  <c r="AS60" i="4"/>
  <c r="AN397" i="5"/>
  <c r="AS116" i="4"/>
  <c r="V86" i="4"/>
  <c r="AM86" i="4" s="1"/>
  <c r="AN86" i="4" s="1"/>
  <c r="V100" i="4"/>
  <c r="AM100" i="4" s="1"/>
  <c r="AN100" i="4" s="1"/>
  <c r="AS70" i="4"/>
  <c r="U10" i="4"/>
  <c r="AH10" i="4" s="1"/>
  <c r="AS76" i="4"/>
  <c r="V55" i="4"/>
  <c r="AM55" i="4" s="1"/>
  <c r="AN55" i="4" s="1"/>
  <c r="V11" i="4"/>
  <c r="W11" i="4" s="1"/>
  <c r="Y11" i="4" s="1"/>
  <c r="Z11" i="4" s="1"/>
  <c r="V60" i="4"/>
  <c r="AM60" i="4" s="1"/>
  <c r="AN60" i="4" s="1"/>
  <c r="U68" i="4"/>
  <c r="AH68" i="4" s="1"/>
  <c r="V126" i="4"/>
  <c r="AM126" i="4" s="1"/>
  <c r="AN126" i="4" s="1"/>
  <c r="U86" i="4"/>
  <c r="AH86" i="4" s="1"/>
  <c r="V30" i="4"/>
  <c r="AM30" i="4" s="1"/>
  <c r="AN30" i="4" s="1"/>
  <c r="V70" i="4"/>
  <c r="W70" i="4" s="1"/>
  <c r="Y70" i="4" s="1"/>
  <c r="Z70" i="4" s="1"/>
  <c r="U102" i="4"/>
  <c r="AH102" i="4" s="1"/>
  <c r="AO225" i="5"/>
  <c r="AP273" i="5"/>
  <c r="AQ273" i="5" s="1"/>
  <c r="V23" i="5"/>
  <c r="AS25" i="4"/>
  <c r="V104" i="5"/>
  <c r="AO432" i="5"/>
  <c r="U48" i="4"/>
  <c r="AH48" i="4" s="1"/>
  <c r="AO252" i="5"/>
  <c r="AO264" i="5"/>
  <c r="V106" i="4"/>
  <c r="AM106" i="4" s="1"/>
  <c r="AN106" i="4" s="1"/>
  <c r="V46" i="5"/>
  <c r="AN199" i="5"/>
  <c r="AO56" i="5"/>
  <c r="AN406" i="5"/>
  <c r="AS52" i="4"/>
  <c r="AO212" i="5"/>
  <c r="AO88" i="5"/>
  <c r="V146" i="4"/>
  <c r="AM146" i="4" s="1"/>
  <c r="AN146" i="4" s="1"/>
  <c r="AP25" i="5"/>
  <c r="AR25" i="5" s="1"/>
  <c r="AP287" i="5"/>
  <c r="AR287" i="5" s="1"/>
  <c r="AP410" i="5"/>
  <c r="AR410" i="5" s="1"/>
  <c r="AP135" i="5"/>
  <c r="AR135" i="5" s="1"/>
  <c r="AP380" i="5"/>
  <c r="AQ380" i="5" s="1"/>
  <c r="AP153" i="5"/>
  <c r="AQ153" i="5" s="1"/>
  <c r="AS48" i="4"/>
  <c r="U106" i="4"/>
  <c r="AH106" i="4" s="1"/>
  <c r="AS31" i="4"/>
  <c r="AO371" i="5"/>
  <c r="AN363" i="5"/>
  <c r="AP225" i="5"/>
  <c r="AR225" i="5" s="1"/>
  <c r="AO239" i="5"/>
  <c r="AN420" i="5"/>
  <c r="V60" i="5"/>
  <c r="V48" i="5"/>
  <c r="V147" i="5"/>
  <c r="V75" i="4"/>
  <c r="AM75" i="4" s="1"/>
  <c r="AN75" i="4" s="1"/>
  <c r="U95" i="4"/>
  <c r="AH95" i="4" s="1"/>
  <c r="AS146" i="4"/>
  <c r="AP105" i="5"/>
  <c r="AQ105" i="5" s="1"/>
  <c r="V234" i="5"/>
  <c r="AP214" i="5"/>
  <c r="AR214" i="5" s="1"/>
  <c r="AP527" i="5"/>
  <c r="AQ527" i="5" s="1"/>
  <c r="AP199" i="5"/>
  <c r="AQ199" i="5" s="1"/>
  <c r="AP250" i="5"/>
  <c r="AQ250" i="5" s="1"/>
  <c r="AS110" i="4"/>
  <c r="U75" i="4"/>
  <c r="AH75" i="4" s="1"/>
  <c r="AS95" i="4"/>
  <c r="AO415" i="5"/>
  <c r="AN415" i="5"/>
  <c r="V74" i="4"/>
  <c r="AM74" i="4" s="1"/>
  <c r="AN74" i="4" s="1"/>
  <c r="U25" i="4"/>
  <c r="AH25" i="4" s="1"/>
  <c r="V110" i="4"/>
  <c r="W110" i="4" s="1"/>
  <c r="Y110" i="4" s="1"/>
  <c r="AL225" i="5"/>
  <c r="AO451" i="5"/>
  <c r="AN451" i="5"/>
  <c r="AS7" i="4"/>
  <c r="V118" i="4"/>
  <c r="AM118" i="4" s="1"/>
  <c r="AO331" i="5"/>
  <c r="AN331" i="5"/>
  <c r="AI388" i="5"/>
  <c r="AH388" i="5"/>
  <c r="AH331" i="5"/>
  <c r="AI331" i="5"/>
  <c r="AH52" i="5"/>
  <c r="AI52" i="5"/>
  <c r="AH263" i="5"/>
  <c r="AI263" i="5"/>
  <c r="AN51" i="5"/>
  <c r="AO51" i="5"/>
  <c r="AP556" i="5"/>
  <c r="AQ556" i="5" s="1"/>
  <c r="AP58" i="5"/>
  <c r="AR58" i="5" s="1"/>
  <c r="AP175" i="5"/>
  <c r="AR175" i="5" s="1"/>
  <c r="AP130" i="5"/>
  <c r="AR130" i="5" s="1"/>
  <c r="V25" i="4"/>
  <c r="AM25" i="4" s="1"/>
  <c r="AN25" i="4" s="1"/>
  <c r="U257" i="5"/>
  <c r="AS75" i="4"/>
  <c r="V63" i="4"/>
  <c r="AM63" i="4" s="1"/>
  <c r="AN63" i="4" s="1"/>
  <c r="S480" i="5"/>
  <c r="V35" i="4"/>
  <c r="AM35" i="4" s="1"/>
  <c r="AN35" i="4" s="1"/>
  <c r="V76" i="4"/>
  <c r="AM76" i="4" s="1"/>
  <c r="AN76" i="4" s="1"/>
  <c r="AI399" i="5"/>
  <c r="AH399" i="5"/>
  <c r="AH329" i="5"/>
  <c r="AI329" i="5"/>
  <c r="AO499" i="5"/>
  <c r="AN499" i="5"/>
  <c r="AP333" i="5"/>
  <c r="AR333" i="5" s="1"/>
  <c r="U63" i="4"/>
  <c r="AH63" i="4" s="1"/>
  <c r="AS35" i="4"/>
  <c r="V9" i="4"/>
  <c r="AM9" i="4" s="1"/>
  <c r="AN9" i="4" s="1"/>
  <c r="AI369" i="5"/>
  <c r="AH369" i="5"/>
  <c r="AI241" i="5"/>
  <c r="AH241" i="5"/>
  <c r="AH431" i="5"/>
  <c r="AI431" i="5"/>
  <c r="AN427" i="5"/>
  <c r="AO427" i="5"/>
  <c r="AN539" i="5"/>
  <c r="AO539" i="5"/>
  <c r="AP354" i="5"/>
  <c r="AQ354" i="5" s="1"/>
  <c r="AP450" i="5"/>
  <c r="AQ450" i="5" s="1"/>
  <c r="AP324" i="5"/>
  <c r="AQ324" i="5" s="1"/>
  <c r="U35" i="4"/>
  <c r="AH35" i="4" s="1"/>
  <c r="AS63" i="4"/>
  <c r="U12" i="4"/>
  <c r="AH12" i="4" s="1"/>
  <c r="U9" i="4"/>
  <c r="AH9" i="4" s="1"/>
  <c r="AO305" i="5"/>
  <c r="AH53" i="5"/>
  <c r="AI53" i="5"/>
  <c r="AI95" i="5"/>
  <c r="AH95" i="5"/>
  <c r="AI191" i="5"/>
  <c r="AH191" i="5"/>
  <c r="AN73" i="5"/>
  <c r="AO73" i="5"/>
  <c r="AP432" i="5"/>
  <c r="AR432" i="5" s="1"/>
  <c r="AP69" i="5"/>
  <c r="AQ69" i="5" s="1"/>
  <c r="AP390" i="5"/>
  <c r="AQ390" i="5" s="1"/>
  <c r="AP178" i="5"/>
  <c r="AR178" i="5" s="1"/>
  <c r="AP355" i="5"/>
  <c r="AR355" i="5" s="1"/>
  <c r="AP217" i="5"/>
  <c r="AQ217" i="5" s="1"/>
  <c r="AP290" i="5"/>
  <c r="AQ290" i="5" s="1"/>
  <c r="AP365" i="5"/>
  <c r="AR365" i="5" s="1"/>
  <c r="AP396" i="5"/>
  <c r="AR396" i="5" s="1"/>
  <c r="AP314" i="5"/>
  <c r="AQ314" i="5" s="1"/>
  <c r="AP301" i="5"/>
  <c r="AR301" i="5" s="1"/>
  <c r="AP528" i="5"/>
  <c r="AQ528" i="5" s="1"/>
  <c r="AP173" i="5"/>
  <c r="AR173" i="5" s="1"/>
  <c r="U74" i="4"/>
  <c r="AH74" i="4" s="1"/>
  <c r="AS106" i="4"/>
  <c r="V31" i="4"/>
  <c r="AM31" i="4" s="1"/>
  <c r="AN31" i="4" s="1"/>
  <c r="U110" i="4"/>
  <c r="AH110" i="4" s="1"/>
  <c r="AP348" i="5"/>
  <c r="AQ348" i="5" s="1"/>
  <c r="AP387" i="5"/>
  <c r="AR387" i="5" s="1"/>
  <c r="AK105" i="5"/>
  <c r="V123" i="4"/>
  <c r="AM123" i="4" s="1"/>
  <c r="AN123" i="4" s="1"/>
  <c r="R554" i="5"/>
  <c r="AS12" i="4"/>
  <c r="AS9" i="4"/>
  <c r="U84" i="4"/>
  <c r="AH84" i="4" s="1"/>
  <c r="AI543" i="5"/>
  <c r="AH543" i="5"/>
  <c r="AH150" i="5"/>
  <c r="AI150" i="5"/>
  <c r="AI43" i="5"/>
  <c r="AH43" i="5"/>
  <c r="AN313" i="5"/>
  <c r="AO313" i="5"/>
  <c r="AO108" i="5"/>
  <c r="AN108" i="5"/>
  <c r="AP494" i="5"/>
  <c r="AQ494" i="5" s="1"/>
  <c r="AP520" i="5"/>
  <c r="AQ520" i="5" s="1"/>
  <c r="AP48" i="5"/>
  <c r="AR48" i="5" s="1"/>
  <c r="AP267" i="5"/>
  <c r="AQ267" i="5" s="1"/>
  <c r="AP338" i="5"/>
  <c r="AR338" i="5" s="1"/>
  <c r="AP332" i="5"/>
  <c r="AR332" i="5" s="1"/>
  <c r="AP157" i="5"/>
  <c r="AQ157" i="5" s="1"/>
  <c r="AP304" i="5"/>
  <c r="AR304" i="5" s="1"/>
  <c r="V48" i="4"/>
  <c r="AM48" i="4" s="1"/>
  <c r="AN48" i="4" s="1"/>
  <c r="AS74" i="4"/>
  <c r="U31" i="4"/>
  <c r="AH31" i="4" s="1"/>
  <c r="AP434" i="5"/>
  <c r="AQ434" i="5" s="1"/>
  <c r="U7" i="4"/>
  <c r="U123" i="4"/>
  <c r="AH123" i="4" s="1"/>
  <c r="V52" i="4"/>
  <c r="W52" i="4" s="1"/>
  <c r="AN273" i="5"/>
  <c r="AO416" i="5"/>
  <c r="AH325" i="5"/>
  <c r="AI325" i="5"/>
  <c r="AI541" i="5"/>
  <c r="AH541" i="5"/>
  <c r="AP405" i="5"/>
  <c r="AQ405" i="5" s="1"/>
  <c r="AP212" i="5"/>
  <c r="AQ212" i="5" s="1"/>
  <c r="AP461" i="5"/>
  <c r="AQ461" i="5" s="1"/>
  <c r="V7" i="4"/>
  <c r="AM7" i="4" s="1"/>
  <c r="AN7" i="4" s="1"/>
  <c r="AS123" i="4"/>
  <c r="U52" i="4"/>
  <c r="AH52" i="4" s="1"/>
  <c r="V95" i="4"/>
  <c r="W95" i="4" s="1"/>
  <c r="AH430" i="5"/>
  <c r="AI430" i="5"/>
  <c r="AI342" i="5"/>
  <c r="AH342" i="5"/>
  <c r="AN171" i="5"/>
  <c r="AO171" i="5"/>
  <c r="B24" i="2"/>
  <c r="R88" i="5"/>
  <c r="R328" i="5"/>
  <c r="Y65" i="5"/>
  <c r="Y135" i="5"/>
  <c r="Y181" i="5"/>
  <c r="Y416" i="5"/>
  <c r="X206" i="5"/>
  <c r="X204" i="5"/>
  <c r="X74" i="5"/>
  <c r="Z560" i="5"/>
  <c r="AA560" i="5" s="1"/>
  <c r="Z552" i="5"/>
  <c r="AB552" i="5" s="1"/>
  <c r="Z544" i="5"/>
  <c r="AB544" i="5" s="1"/>
  <c r="Z536" i="5"/>
  <c r="Z528" i="5"/>
  <c r="Z520" i="5"/>
  <c r="AB520" i="5" s="1"/>
  <c r="Z512" i="5"/>
  <c r="Z504" i="5"/>
  <c r="AB504" i="5" s="1"/>
  <c r="Z496" i="5"/>
  <c r="Z488" i="5"/>
  <c r="AB488" i="5" s="1"/>
  <c r="Z480" i="5"/>
  <c r="AB480" i="5" s="1"/>
  <c r="Z472" i="5"/>
  <c r="AA472" i="5" s="1"/>
  <c r="Z464" i="5"/>
  <c r="AA464" i="5" s="1"/>
  <c r="Z456" i="5"/>
  <c r="AA456" i="5" s="1"/>
  <c r="Z448" i="5"/>
  <c r="AA448" i="5" s="1"/>
  <c r="Z440" i="5"/>
  <c r="Z432" i="5"/>
  <c r="Z424" i="5"/>
  <c r="AB424" i="5" s="1"/>
  <c r="Z416" i="5"/>
  <c r="AA416" i="5" s="1"/>
  <c r="Z408" i="5"/>
  <c r="AB408" i="5" s="1"/>
  <c r="Z400" i="5"/>
  <c r="AA400" i="5" s="1"/>
  <c r="Z392" i="5"/>
  <c r="AB392" i="5" s="1"/>
  <c r="Z384" i="5"/>
  <c r="AA384" i="5" s="1"/>
  <c r="Z376" i="5"/>
  <c r="AB376" i="5" s="1"/>
  <c r="Z368" i="5"/>
  <c r="AA368" i="5" s="1"/>
  <c r="Z360" i="5"/>
  <c r="AA360" i="5" s="1"/>
  <c r="Z352" i="5"/>
  <c r="AB352" i="5" s="1"/>
  <c r="Z344" i="5"/>
  <c r="Z336" i="5"/>
  <c r="AB336" i="5" s="1"/>
  <c r="Z328" i="5"/>
  <c r="AB328" i="5" s="1"/>
  <c r="Z320" i="5"/>
  <c r="AA320" i="5" s="1"/>
  <c r="Z312" i="5"/>
  <c r="AA312" i="5" s="1"/>
  <c r="Z304" i="5"/>
  <c r="AB304" i="5" s="1"/>
  <c r="Z296" i="5"/>
  <c r="AB296" i="5" s="1"/>
  <c r="Z288" i="5"/>
  <c r="AA288" i="5" s="1"/>
  <c r="Z280" i="5"/>
  <c r="Z272" i="5"/>
  <c r="AA272" i="5" s="1"/>
  <c r="Z264" i="5"/>
  <c r="Z256" i="5"/>
  <c r="AB256" i="5" s="1"/>
  <c r="Z248" i="5"/>
  <c r="Z240" i="5"/>
  <c r="Z232" i="5"/>
  <c r="Z224" i="5"/>
  <c r="AB224" i="5" s="1"/>
  <c r="Z216" i="5"/>
  <c r="Z208" i="5"/>
  <c r="AA208" i="5" s="1"/>
  <c r="Z200" i="5"/>
  <c r="Z192" i="5"/>
  <c r="AB192" i="5" s="1"/>
  <c r="Z184" i="5"/>
  <c r="Z176" i="5"/>
  <c r="AB176" i="5" s="1"/>
  <c r="Z168" i="5"/>
  <c r="AB168" i="5" s="1"/>
  <c r="Z160" i="5"/>
  <c r="AB160" i="5" s="1"/>
  <c r="Z152" i="5"/>
  <c r="AB152" i="5" s="1"/>
  <c r="Z144" i="5"/>
  <c r="AA144" i="5" s="1"/>
  <c r="Z136" i="5"/>
  <c r="Z128" i="5"/>
  <c r="AA128" i="5" s="1"/>
  <c r="Z112" i="5"/>
  <c r="AA112" i="5" s="1"/>
  <c r="Z96" i="5"/>
  <c r="AA96" i="5" s="1"/>
  <c r="Z80" i="5"/>
  <c r="AA80" i="5" s="1"/>
  <c r="Z56" i="5"/>
  <c r="AB56" i="5" s="1"/>
  <c r="Z34" i="5"/>
  <c r="AA34" i="5" s="1"/>
  <c r="Z29" i="5"/>
  <c r="AB29" i="5" s="1"/>
  <c r="Z559" i="5"/>
  <c r="Z551" i="5"/>
  <c r="AB551" i="5" s="1"/>
  <c r="Z543" i="5"/>
  <c r="AB543" i="5" s="1"/>
  <c r="Z535" i="5"/>
  <c r="AA535" i="5" s="1"/>
  <c r="Z527" i="5"/>
  <c r="AA527" i="5" s="1"/>
  <c r="Z519" i="5"/>
  <c r="AB519" i="5" s="1"/>
  <c r="Z511" i="5"/>
  <c r="AA511" i="5" s="1"/>
  <c r="Z503" i="5"/>
  <c r="AB503" i="5" s="1"/>
  <c r="Z495" i="5"/>
  <c r="AB495" i="5" s="1"/>
  <c r="Z487" i="5"/>
  <c r="AA487" i="5" s="1"/>
  <c r="Z479" i="5"/>
  <c r="Z471" i="5"/>
  <c r="AA471" i="5" s="1"/>
  <c r="Z463" i="5"/>
  <c r="AA463" i="5" s="1"/>
  <c r="Z455" i="5"/>
  <c r="AB455" i="5" s="1"/>
  <c r="Z447" i="5"/>
  <c r="AA447" i="5" s="1"/>
  <c r="Z439" i="5"/>
  <c r="AA439" i="5" s="1"/>
  <c r="Z431" i="5"/>
  <c r="AA431" i="5" s="1"/>
  <c r="Z423" i="5"/>
  <c r="AB423" i="5" s="1"/>
  <c r="Z415" i="5"/>
  <c r="AB415" i="5" s="1"/>
  <c r="Z407" i="5"/>
  <c r="AB407" i="5" s="1"/>
  <c r="Z399" i="5"/>
  <c r="Z391" i="5"/>
  <c r="AB391" i="5" s="1"/>
  <c r="Z383" i="5"/>
  <c r="AB383" i="5" s="1"/>
  <c r="Z375" i="5"/>
  <c r="AB375" i="5" s="1"/>
  <c r="Z367" i="5"/>
  <c r="AA367" i="5" s="1"/>
  <c r="Z359" i="5"/>
  <c r="AA359" i="5" s="1"/>
  <c r="Z351" i="5"/>
  <c r="AA351" i="5" s="1"/>
  <c r="Z343" i="5"/>
  <c r="AB343" i="5" s="1"/>
  <c r="Z335" i="5"/>
  <c r="AA335" i="5" s="1"/>
  <c r="Z327" i="5"/>
  <c r="AA327" i="5" s="1"/>
  <c r="Z319" i="5"/>
  <c r="AB319" i="5" s="1"/>
  <c r="Z311" i="5"/>
  <c r="AB311" i="5" s="1"/>
  <c r="Z303" i="5"/>
  <c r="AB303" i="5" s="1"/>
  <c r="Z295" i="5"/>
  <c r="Z287" i="5"/>
  <c r="AA287" i="5" s="1"/>
  <c r="Z279" i="5"/>
  <c r="Z271" i="5"/>
  <c r="AA271" i="5" s="1"/>
  <c r="Z263" i="5"/>
  <c r="AB263" i="5" s="1"/>
  <c r="Z255" i="5"/>
  <c r="AA255" i="5" s="1"/>
  <c r="Z247" i="5"/>
  <c r="AA247" i="5" s="1"/>
  <c r="Z239" i="5"/>
  <c r="AB239" i="5" s="1"/>
  <c r="Z231" i="5"/>
  <c r="AB231" i="5" s="1"/>
  <c r="Z223" i="5"/>
  <c r="AB223" i="5" s="1"/>
  <c r="Z215" i="5"/>
  <c r="AA215" i="5" s="1"/>
  <c r="Z207" i="5"/>
  <c r="AB207" i="5" s="1"/>
  <c r="Z199" i="5"/>
  <c r="AB199" i="5" s="1"/>
  <c r="Z191" i="5"/>
  <c r="AA191" i="5" s="1"/>
  <c r="Z183" i="5"/>
  <c r="Z175" i="5"/>
  <c r="AB175" i="5" s="1"/>
  <c r="Z167" i="5"/>
  <c r="AB167" i="5" s="1"/>
  <c r="Z159" i="5"/>
  <c r="AA159" i="5" s="1"/>
  <c r="Z151" i="5"/>
  <c r="AA151" i="5" s="1"/>
  <c r="Z143" i="5"/>
  <c r="AA143" i="5" s="1"/>
  <c r="Z135" i="5"/>
  <c r="AA135" i="5" s="1"/>
  <c r="Z127" i="5"/>
  <c r="Z119" i="5"/>
  <c r="AB119" i="5" s="1"/>
  <c r="Z111" i="5"/>
  <c r="AB111" i="5" s="1"/>
  <c r="Z103" i="5"/>
  <c r="AA103" i="5" s="1"/>
  <c r="Z95" i="5"/>
  <c r="AB95" i="5" s="1"/>
  <c r="Z87" i="5"/>
  <c r="AB87" i="5" s="1"/>
  <c r="Z79" i="5"/>
  <c r="AB79" i="5" s="1"/>
  <c r="Z71" i="5"/>
  <c r="AA71" i="5" s="1"/>
  <c r="Z63" i="5"/>
  <c r="AB63" i="5" s="1"/>
  <c r="Z55" i="5"/>
  <c r="AB55" i="5" s="1"/>
  <c r="Z47" i="5"/>
  <c r="AB47" i="5" s="1"/>
  <c r="Z39" i="5"/>
  <c r="AA39" i="5" s="1"/>
  <c r="Z33" i="5"/>
  <c r="Z25" i="5"/>
  <c r="AA25" i="5" s="1"/>
  <c r="Z12" i="5"/>
  <c r="Z166" i="5"/>
  <c r="AA166" i="5" s="1"/>
  <c r="Z150" i="5"/>
  <c r="AA150" i="5" s="1"/>
  <c r="Z134" i="5"/>
  <c r="Z118" i="5"/>
  <c r="AB118" i="5" s="1"/>
  <c r="Z102" i="5"/>
  <c r="Z78" i="5"/>
  <c r="Z62" i="5"/>
  <c r="AB62" i="5" s="1"/>
  <c r="Z54" i="5"/>
  <c r="AA54" i="5" s="1"/>
  <c r="Z32" i="5"/>
  <c r="AB32" i="5" s="1"/>
  <c r="Z10" i="5"/>
  <c r="AB10" i="5" s="1"/>
  <c r="Z131" i="5"/>
  <c r="AA131" i="5" s="1"/>
  <c r="Z91" i="5"/>
  <c r="AA91" i="5" s="1"/>
  <c r="Z43" i="5"/>
  <c r="AB43" i="5" s="1"/>
  <c r="Z558" i="5"/>
  <c r="Z550" i="5"/>
  <c r="AB550" i="5" s="1"/>
  <c r="Z542" i="5"/>
  <c r="AA542" i="5" s="1"/>
  <c r="Z534" i="5"/>
  <c r="Z526" i="5"/>
  <c r="AA526" i="5" s="1"/>
  <c r="Z518" i="5"/>
  <c r="AB518" i="5" s="1"/>
  <c r="Z510" i="5"/>
  <c r="AB510" i="5" s="1"/>
  <c r="Z502" i="5"/>
  <c r="AB502" i="5" s="1"/>
  <c r="Z494" i="5"/>
  <c r="AB494" i="5" s="1"/>
  <c r="Z486" i="5"/>
  <c r="AB486" i="5" s="1"/>
  <c r="Z478" i="5"/>
  <c r="AB478" i="5" s="1"/>
  <c r="Z470" i="5"/>
  <c r="AB470" i="5" s="1"/>
  <c r="Z462" i="5"/>
  <c r="AB462" i="5" s="1"/>
  <c r="Z454" i="5"/>
  <c r="AB454" i="5" s="1"/>
  <c r="Z446" i="5"/>
  <c r="Z438" i="5"/>
  <c r="AB438" i="5" s="1"/>
  <c r="Z430" i="5"/>
  <c r="AA430" i="5" s="1"/>
  <c r="Z422" i="5"/>
  <c r="AB422" i="5" s="1"/>
  <c r="Z414" i="5"/>
  <c r="AB414" i="5" s="1"/>
  <c r="Z406" i="5"/>
  <c r="AA406" i="5" s="1"/>
  <c r="Z398" i="5"/>
  <c r="Z390" i="5"/>
  <c r="AA390" i="5" s="1"/>
  <c r="Z382" i="5"/>
  <c r="AB382" i="5" s="1"/>
  <c r="Z374" i="5"/>
  <c r="AB374" i="5" s="1"/>
  <c r="Z366" i="5"/>
  <c r="AA366" i="5" s="1"/>
  <c r="Z358" i="5"/>
  <c r="AB358" i="5" s="1"/>
  <c r="Z350" i="5"/>
  <c r="AA350" i="5" s="1"/>
  <c r="Z342" i="5"/>
  <c r="Z334" i="5"/>
  <c r="AB334" i="5" s="1"/>
  <c r="Z326" i="5"/>
  <c r="AA326" i="5" s="1"/>
  <c r="Z318" i="5"/>
  <c r="AB318" i="5" s="1"/>
  <c r="Z310" i="5"/>
  <c r="Z302" i="5"/>
  <c r="AA302" i="5" s="1"/>
  <c r="Z294" i="5"/>
  <c r="AB294" i="5" s="1"/>
  <c r="Z286" i="5"/>
  <c r="AB286" i="5" s="1"/>
  <c r="Z278" i="5"/>
  <c r="AA278" i="5" s="1"/>
  <c r="Z270" i="5"/>
  <c r="AA270" i="5" s="1"/>
  <c r="Z262" i="5"/>
  <c r="AA262" i="5" s="1"/>
  <c r="Z254" i="5"/>
  <c r="AA254" i="5" s="1"/>
  <c r="Z246" i="5"/>
  <c r="AA246" i="5" s="1"/>
  <c r="Z238" i="5"/>
  <c r="Z230" i="5"/>
  <c r="AA230" i="5" s="1"/>
  <c r="Z222" i="5"/>
  <c r="AB222" i="5" s="1"/>
  <c r="Z214" i="5"/>
  <c r="AA214" i="5" s="1"/>
  <c r="Z206" i="5"/>
  <c r="AA206" i="5" s="1"/>
  <c r="Z198" i="5"/>
  <c r="Z190" i="5"/>
  <c r="AB190" i="5" s="1"/>
  <c r="Z182" i="5"/>
  <c r="Z174" i="5"/>
  <c r="AA174" i="5" s="1"/>
  <c r="Z158" i="5"/>
  <c r="Z142" i="5"/>
  <c r="AB142" i="5" s="1"/>
  <c r="Z126" i="5"/>
  <c r="Z110" i="5"/>
  <c r="AA110" i="5" s="1"/>
  <c r="Z94" i="5"/>
  <c r="AA94" i="5" s="1"/>
  <c r="Z86" i="5"/>
  <c r="AA86" i="5" s="1"/>
  <c r="Z70" i="5"/>
  <c r="AB70" i="5" s="1"/>
  <c r="Z46" i="5"/>
  <c r="Z38" i="5"/>
  <c r="AA38" i="5" s="1"/>
  <c r="Z24" i="5"/>
  <c r="Z147" i="5"/>
  <c r="Z107" i="5"/>
  <c r="AB107" i="5" s="1"/>
  <c r="Z67" i="5"/>
  <c r="Z7" i="5"/>
  <c r="AB7" i="5" s="1"/>
  <c r="Z557" i="5"/>
  <c r="AA557" i="5" s="1"/>
  <c r="Z549" i="5"/>
  <c r="AB549" i="5" s="1"/>
  <c r="Z541" i="5"/>
  <c r="Z533" i="5"/>
  <c r="AA533" i="5" s="1"/>
  <c r="Z525" i="5"/>
  <c r="AA525" i="5" s="1"/>
  <c r="Z517" i="5"/>
  <c r="AB517" i="5" s="1"/>
  <c r="Z509" i="5"/>
  <c r="AA509" i="5" s="1"/>
  <c r="Z501" i="5"/>
  <c r="AB501" i="5" s="1"/>
  <c r="Z493" i="5"/>
  <c r="AA493" i="5" s="1"/>
  <c r="Z485" i="5"/>
  <c r="AA485" i="5" s="1"/>
  <c r="Z477" i="5"/>
  <c r="AA477" i="5" s="1"/>
  <c r="Z469" i="5"/>
  <c r="AA469" i="5" s="1"/>
  <c r="Z461" i="5"/>
  <c r="AB461" i="5" s="1"/>
  <c r="Z453" i="5"/>
  <c r="AA453" i="5" s="1"/>
  <c r="Z445" i="5"/>
  <c r="AB445" i="5" s="1"/>
  <c r="Z437" i="5"/>
  <c r="AA437" i="5" s="1"/>
  <c r="Z429" i="5"/>
  <c r="AA429" i="5" s="1"/>
  <c r="Z421" i="5"/>
  <c r="AA421" i="5" s="1"/>
  <c r="Z413" i="5"/>
  <c r="AA413" i="5" s="1"/>
  <c r="Z405" i="5"/>
  <c r="AB405" i="5" s="1"/>
  <c r="Z397" i="5"/>
  <c r="AB397" i="5" s="1"/>
  <c r="Z389" i="5"/>
  <c r="AA389" i="5" s="1"/>
  <c r="Z381" i="5"/>
  <c r="Z373" i="5"/>
  <c r="AB373" i="5" s="1"/>
  <c r="Z365" i="5"/>
  <c r="Z357" i="5"/>
  <c r="AA357" i="5" s="1"/>
  <c r="Z349" i="5"/>
  <c r="Z341" i="5"/>
  <c r="AA341" i="5" s="1"/>
  <c r="Z333" i="5"/>
  <c r="AB333" i="5" s="1"/>
  <c r="Z325" i="5"/>
  <c r="Z317" i="5"/>
  <c r="AB317" i="5" s="1"/>
  <c r="Z309" i="5"/>
  <c r="AA309" i="5" s="1"/>
  <c r="Z301" i="5"/>
  <c r="AA301" i="5" s="1"/>
  <c r="Z293" i="5"/>
  <c r="AA293" i="5" s="1"/>
  <c r="Z285" i="5"/>
  <c r="Z277" i="5"/>
  <c r="AB277" i="5" s="1"/>
  <c r="Z269" i="5"/>
  <c r="AB269" i="5" s="1"/>
  <c r="Z261" i="5"/>
  <c r="AA261" i="5" s="1"/>
  <c r="Z253" i="5"/>
  <c r="Z245" i="5"/>
  <c r="Z237" i="5"/>
  <c r="Z229" i="5"/>
  <c r="Z221" i="5"/>
  <c r="AB221" i="5" s="1"/>
  <c r="Z213" i="5"/>
  <c r="AB213" i="5" s="1"/>
  <c r="Z205" i="5"/>
  <c r="AB205" i="5" s="1"/>
  <c r="Z197" i="5"/>
  <c r="Z189" i="5"/>
  <c r="AA189" i="5" s="1"/>
  <c r="Z181" i="5"/>
  <c r="AA181" i="5" s="1"/>
  <c r="Z173" i="5"/>
  <c r="Z165" i="5"/>
  <c r="AA165" i="5" s="1"/>
  <c r="Z157" i="5"/>
  <c r="AB157" i="5" s="1"/>
  <c r="Z149" i="5"/>
  <c r="AB149" i="5" s="1"/>
  <c r="Z141" i="5"/>
  <c r="Z133" i="5"/>
  <c r="AA133" i="5" s="1"/>
  <c r="Z125" i="5"/>
  <c r="AB125" i="5" s="1"/>
  <c r="Z117" i="5"/>
  <c r="AA117" i="5" s="1"/>
  <c r="Z109" i="5"/>
  <c r="AA109" i="5" s="1"/>
  <c r="Z101" i="5"/>
  <c r="AA101" i="5" s="1"/>
  <c r="Z93" i="5"/>
  <c r="AA93" i="5" s="1"/>
  <c r="Z85" i="5"/>
  <c r="AA85" i="5" s="1"/>
  <c r="Z77" i="5"/>
  <c r="AA77" i="5" s="1"/>
  <c r="Z69" i="5"/>
  <c r="AB69" i="5" s="1"/>
  <c r="Z61" i="5"/>
  <c r="AA61" i="5" s="1"/>
  <c r="Z53" i="5"/>
  <c r="AB53" i="5" s="1"/>
  <c r="Z45" i="5"/>
  <c r="Z37" i="5"/>
  <c r="AA37" i="5" s="1"/>
  <c r="Z31" i="5"/>
  <c r="AA31" i="5" s="1"/>
  <c r="Z23" i="5"/>
  <c r="AB23" i="5" s="1"/>
  <c r="Z148" i="5"/>
  <c r="AB148" i="5" s="1"/>
  <c r="Z132" i="5"/>
  <c r="AA132" i="5" s="1"/>
  <c r="Z124" i="5"/>
  <c r="AA124" i="5" s="1"/>
  <c r="Z108" i="5"/>
  <c r="AB108" i="5" s="1"/>
  <c r="Z92" i="5"/>
  <c r="AA92" i="5" s="1"/>
  <c r="Z84" i="5"/>
  <c r="AB84" i="5" s="1"/>
  <c r="Z68" i="5"/>
  <c r="Z52" i="5"/>
  <c r="AB52" i="5" s="1"/>
  <c r="Z36" i="5"/>
  <c r="AB36" i="5" s="1"/>
  <c r="Z22" i="5"/>
  <c r="Z171" i="5"/>
  <c r="AA171" i="5" s="1"/>
  <c r="Z139" i="5"/>
  <c r="AA139" i="5" s="1"/>
  <c r="Z123" i="5"/>
  <c r="AA123" i="5" s="1"/>
  <c r="Z83" i="5"/>
  <c r="AA83" i="5" s="1"/>
  <c r="Z51" i="5"/>
  <c r="AA51" i="5" s="1"/>
  <c r="Z556" i="5"/>
  <c r="Z548" i="5"/>
  <c r="AB548" i="5" s="1"/>
  <c r="Z540" i="5"/>
  <c r="AB540" i="5" s="1"/>
  <c r="Z532" i="5"/>
  <c r="AA532" i="5" s="1"/>
  <c r="Z524" i="5"/>
  <c r="AA524" i="5" s="1"/>
  <c r="Z516" i="5"/>
  <c r="AB516" i="5" s="1"/>
  <c r="Z508" i="5"/>
  <c r="Z500" i="5"/>
  <c r="Z492" i="5"/>
  <c r="AB492" i="5" s="1"/>
  <c r="Z484" i="5"/>
  <c r="AB484" i="5" s="1"/>
  <c r="Z476" i="5"/>
  <c r="Z468" i="5"/>
  <c r="AB468" i="5" s="1"/>
  <c r="Z460" i="5"/>
  <c r="AA460" i="5" s="1"/>
  <c r="Z452" i="5"/>
  <c r="AA452" i="5" s="1"/>
  <c r="Z444" i="5"/>
  <c r="AB444" i="5" s="1"/>
  <c r="Z436" i="5"/>
  <c r="AA436" i="5" s="1"/>
  <c r="Z428" i="5"/>
  <c r="AB428" i="5" s="1"/>
  <c r="Z420" i="5"/>
  <c r="AB420" i="5" s="1"/>
  <c r="Z412" i="5"/>
  <c r="AA412" i="5" s="1"/>
  <c r="Z404" i="5"/>
  <c r="AB404" i="5" s="1"/>
  <c r="Z396" i="5"/>
  <c r="AA396" i="5" s="1"/>
  <c r="Z388" i="5"/>
  <c r="AA388" i="5" s="1"/>
  <c r="Z380" i="5"/>
  <c r="AA380" i="5" s="1"/>
  <c r="Z372" i="5"/>
  <c r="AB372" i="5" s="1"/>
  <c r="Z364" i="5"/>
  <c r="AB364" i="5" s="1"/>
  <c r="Z356" i="5"/>
  <c r="AA356" i="5" s="1"/>
  <c r="Z348" i="5"/>
  <c r="AA348" i="5" s="1"/>
  <c r="Z340" i="5"/>
  <c r="AB340" i="5" s="1"/>
  <c r="Z332" i="5"/>
  <c r="AA332" i="5" s="1"/>
  <c r="Z324" i="5"/>
  <c r="AB324" i="5" s="1"/>
  <c r="Z316" i="5"/>
  <c r="AA316" i="5" s="1"/>
  <c r="Z308" i="5"/>
  <c r="Z300" i="5"/>
  <c r="Z292" i="5"/>
  <c r="AA292" i="5" s="1"/>
  <c r="Z284" i="5"/>
  <c r="AB284" i="5" s="1"/>
  <c r="Z276" i="5"/>
  <c r="AB276" i="5" s="1"/>
  <c r="Z268" i="5"/>
  <c r="AA268" i="5" s="1"/>
  <c r="Z260" i="5"/>
  <c r="AB260" i="5" s="1"/>
  <c r="Z252" i="5"/>
  <c r="AB252" i="5" s="1"/>
  <c r="Z244" i="5"/>
  <c r="AB244" i="5" s="1"/>
  <c r="Z236" i="5"/>
  <c r="AB236" i="5" s="1"/>
  <c r="Z228" i="5"/>
  <c r="AA228" i="5" s="1"/>
  <c r="Z220" i="5"/>
  <c r="AA220" i="5" s="1"/>
  <c r="Z212" i="5"/>
  <c r="AB212" i="5" s="1"/>
  <c r="Z204" i="5"/>
  <c r="Z196" i="5"/>
  <c r="AA196" i="5" s="1"/>
  <c r="Z188" i="5"/>
  <c r="AB188" i="5" s="1"/>
  <c r="Z180" i="5"/>
  <c r="AB180" i="5" s="1"/>
  <c r="Z172" i="5"/>
  <c r="AB172" i="5" s="1"/>
  <c r="Z164" i="5"/>
  <c r="AB164" i="5" s="1"/>
  <c r="Z156" i="5"/>
  <c r="AA156" i="5" s="1"/>
  <c r="Z140" i="5"/>
  <c r="AB140" i="5" s="1"/>
  <c r="Z116" i="5"/>
  <c r="AB116" i="5" s="1"/>
  <c r="Z100" i="5"/>
  <c r="AB100" i="5" s="1"/>
  <c r="Z76" i="5"/>
  <c r="AA76" i="5" s="1"/>
  <c r="Z60" i="5"/>
  <c r="AB60" i="5" s="1"/>
  <c r="Z44" i="5"/>
  <c r="Z30" i="5"/>
  <c r="AA30" i="5" s="1"/>
  <c r="Z8" i="5"/>
  <c r="AA8" i="5" s="1"/>
  <c r="Z155" i="5"/>
  <c r="AB155" i="5" s="1"/>
  <c r="Z99" i="5"/>
  <c r="Z59" i="5"/>
  <c r="AB59" i="5" s="1"/>
  <c r="Z555" i="5"/>
  <c r="Z547" i="5"/>
  <c r="AB547" i="5" s="1"/>
  <c r="Z539" i="5"/>
  <c r="AB539" i="5" s="1"/>
  <c r="Z531" i="5"/>
  <c r="AB531" i="5" s="1"/>
  <c r="Z523" i="5"/>
  <c r="AB523" i="5" s="1"/>
  <c r="Z515" i="5"/>
  <c r="AB515" i="5" s="1"/>
  <c r="Z507" i="5"/>
  <c r="AA507" i="5" s="1"/>
  <c r="Z499" i="5"/>
  <c r="AB499" i="5" s="1"/>
  <c r="Z491" i="5"/>
  <c r="AA491" i="5" s="1"/>
  <c r="Z483" i="5"/>
  <c r="Z475" i="5"/>
  <c r="AB475" i="5" s="1"/>
  <c r="Z467" i="5"/>
  <c r="AB467" i="5" s="1"/>
  <c r="Z459" i="5"/>
  <c r="AA459" i="5" s="1"/>
  <c r="Z451" i="5"/>
  <c r="Z443" i="5"/>
  <c r="AA443" i="5" s="1"/>
  <c r="Z435" i="5"/>
  <c r="AB435" i="5" s="1"/>
  <c r="Z427" i="5"/>
  <c r="Z419" i="5"/>
  <c r="AA419" i="5" s="1"/>
  <c r="Z411" i="5"/>
  <c r="AA411" i="5" s="1"/>
  <c r="Z403" i="5"/>
  <c r="AA403" i="5" s="1"/>
  <c r="Z395" i="5"/>
  <c r="Z387" i="5"/>
  <c r="AB387" i="5" s="1"/>
  <c r="Z379" i="5"/>
  <c r="AA379" i="5" s="1"/>
  <c r="Z371" i="5"/>
  <c r="AA371" i="5" s="1"/>
  <c r="Z363" i="5"/>
  <c r="AB363" i="5" s="1"/>
  <c r="Z355" i="5"/>
  <c r="AB355" i="5" s="1"/>
  <c r="Z347" i="5"/>
  <c r="AA347" i="5" s="1"/>
  <c r="Z339" i="5"/>
  <c r="Z331" i="5"/>
  <c r="AA331" i="5" s="1"/>
  <c r="Z323" i="5"/>
  <c r="Z315" i="5"/>
  <c r="AB315" i="5" s="1"/>
  <c r="Z307" i="5"/>
  <c r="AA307" i="5" s="1"/>
  <c r="Z299" i="5"/>
  <c r="AA299" i="5" s="1"/>
  <c r="Z291" i="5"/>
  <c r="AA291" i="5" s="1"/>
  <c r="Z283" i="5"/>
  <c r="AB283" i="5" s="1"/>
  <c r="Z275" i="5"/>
  <c r="AB275" i="5" s="1"/>
  <c r="Z267" i="5"/>
  <c r="AB267" i="5" s="1"/>
  <c r="Z259" i="5"/>
  <c r="AA259" i="5" s="1"/>
  <c r="Z251" i="5"/>
  <c r="AB251" i="5" s="1"/>
  <c r="Z243" i="5"/>
  <c r="AB243" i="5" s="1"/>
  <c r="Z235" i="5"/>
  <c r="AA235" i="5" s="1"/>
  <c r="Z227" i="5"/>
  <c r="AB227" i="5" s="1"/>
  <c r="Z219" i="5"/>
  <c r="AA219" i="5" s="1"/>
  <c r="Z211" i="5"/>
  <c r="AA211" i="5" s="1"/>
  <c r="Z203" i="5"/>
  <c r="AA203" i="5" s="1"/>
  <c r="Z195" i="5"/>
  <c r="AA195" i="5" s="1"/>
  <c r="Z187" i="5"/>
  <c r="AB187" i="5" s="1"/>
  <c r="Z179" i="5"/>
  <c r="AA179" i="5" s="1"/>
  <c r="Z163" i="5"/>
  <c r="AA163" i="5" s="1"/>
  <c r="Z115" i="5"/>
  <c r="Z75" i="5"/>
  <c r="Z554" i="5"/>
  <c r="AA554" i="5" s="1"/>
  <c r="Z546" i="5"/>
  <c r="AA546" i="5" s="1"/>
  <c r="Z538" i="5"/>
  <c r="AB538" i="5" s="1"/>
  <c r="Z530" i="5"/>
  <c r="Z522" i="5"/>
  <c r="AA522" i="5" s="1"/>
  <c r="Z514" i="5"/>
  <c r="AB514" i="5" s="1"/>
  <c r="Z506" i="5"/>
  <c r="AB506" i="5" s="1"/>
  <c r="Z498" i="5"/>
  <c r="AA498" i="5" s="1"/>
  <c r="Z490" i="5"/>
  <c r="AB490" i="5" s="1"/>
  <c r="Z482" i="5"/>
  <c r="Z474" i="5"/>
  <c r="AA474" i="5" s="1"/>
  <c r="Z466" i="5"/>
  <c r="Z458" i="5"/>
  <c r="AA458" i="5" s="1"/>
  <c r="Z450" i="5"/>
  <c r="Z442" i="5"/>
  <c r="AB442" i="5" s="1"/>
  <c r="Z434" i="5"/>
  <c r="Z426" i="5"/>
  <c r="AA426" i="5" s="1"/>
  <c r="Z418" i="5"/>
  <c r="AB418" i="5" s="1"/>
  <c r="Z410" i="5"/>
  <c r="AB410" i="5" s="1"/>
  <c r="Z402" i="5"/>
  <c r="AB402" i="5" s="1"/>
  <c r="Z394" i="5"/>
  <c r="AB394" i="5" s="1"/>
  <c r="Z386" i="5"/>
  <c r="AA386" i="5" s="1"/>
  <c r="Z378" i="5"/>
  <c r="Z370" i="5"/>
  <c r="AA370" i="5" s="1"/>
  <c r="Z362" i="5"/>
  <c r="AA362" i="5" s="1"/>
  <c r="Z354" i="5"/>
  <c r="AA354" i="5" s="1"/>
  <c r="Z346" i="5"/>
  <c r="AB346" i="5" s="1"/>
  <c r="Z338" i="5"/>
  <c r="AB338" i="5" s="1"/>
  <c r="Z330" i="5"/>
  <c r="AB330" i="5" s="1"/>
  <c r="Z322" i="5"/>
  <c r="AA322" i="5" s="1"/>
  <c r="Z314" i="5"/>
  <c r="AB314" i="5" s="1"/>
  <c r="Z306" i="5"/>
  <c r="AB306" i="5" s="1"/>
  <c r="Z298" i="5"/>
  <c r="AA298" i="5" s="1"/>
  <c r="Z290" i="5"/>
  <c r="AB290" i="5" s="1"/>
  <c r="Z282" i="5"/>
  <c r="AB282" i="5" s="1"/>
  <c r="Z274" i="5"/>
  <c r="AA274" i="5" s="1"/>
  <c r="Z266" i="5"/>
  <c r="Z258" i="5"/>
  <c r="AB258" i="5" s="1"/>
  <c r="Z250" i="5"/>
  <c r="AB250" i="5" s="1"/>
  <c r="Z242" i="5"/>
  <c r="AA242" i="5" s="1"/>
  <c r="Z234" i="5"/>
  <c r="Z226" i="5"/>
  <c r="AA226" i="5" s="1"/>
  <c r="Z218" i="5"/>
  <c r="Z210" i="5"/>
  <c r="Z202" i="5"/>
  <c r="AA202" i="5" s="1"/>
  <c r="Z194" i="5"/>
  <c r="AB194" i="5" s="1"/>
  <c r="Z186" i="5"/>
  <c r="Z178" i="5"/>
  <c r="Z170" i="5"/>
  <c r="AB170" i="5" s="1"/>
  <c r="Z162" i="5"/>
  <c r="AB162" i="5" s="1"/>
  <c r="Z154" i="5"/>
  <c r="AA154" i="5" s="1"/>
  <c r="Z146" i="5"/>
  <c r="AB146" i="5" s="1"/>
  <c r="Z138" i="5"/>
  <c r="AB138" i="5" s="1"/>
  <c r="Z130" i="5"/>
  <c r="AA130" i="5" s="1"/>
  <c r="Z122" i="5"/>
  <c r="Z114" i="5"/>
  <c r="AB114" i="5" s="1"/>
  <c r="Z106" i="5"/>
  <c r="AB106" i="5" s="1"/>
  <c r="Z98" i="5"/>
  <c r="AA98" i="5" s="1"/>
  <c r="Z90" i="5"/>
  <c r="AB90" i="5" s="1"/>
  <c r="Z82" i="5"/>
  <c r="AB82" i="5" s="1"/>
  <c r="Z74" i="5"/>
  <c r="AA74" i="5" s="1"/>
  <c r="Z66" i="5"/>
  <c r="AB66" i="5" s="1"/>
  <c r="Z58" i="5"/>
  <c r="Z50" i="5"/>
  <c r="AB50" i="5" s="1"/>
  <c r="Z42" i="5"/>
  <c r="AA42" i="5" s="1"/>
  <c r="Z35" i="5"/>
  <c r="Z28" i="5"/>
  <c r="AB28" i="5" s="1"/>
  <c r="Z20" i="5"/>
  <c r="Z121" i="5"/>
  <c r="AA121" i="5" s="1"/>
  <c r="Z105" i="5"/>
  <c r="AA105" i="5" s="1"/>
  <c r="Z89" i="5"/>
  <c r="AB89" i="5" s="1"/>
  <c r="Z73" i="5"/>
  <c r="Z57" i="5"/>
  <c r="AB57" i="5" s="1"/>
  <c r="Z41" i="5"/>
  <c r="AA41" i="5" s="1"/>
  <c r="Z27" i="5"/>
  <c r="AB27" i="5" s="1"/>
  <c r="Z19" i="5"/>
  <c r="AA19" i="5" s="1"/>
  <c r="Z120" i="5"/>
  <c r="AA120" i="5" s="1"/>
  <c r="Z104" i="5"/>
  <c r="AB104" i="5" s="1"/>
  <c r="Z88" i="5"/>
  <c r="AA88" i="5" s="1"/>
  <c r="Z64" i="5"/>
  <c r="AB64" i="5" s="1"/>
  <c r="Z40" i="5"/>
  <c r="AA40" i="5" s="1"/>
  <c r="Z13" i="5"/>
  <c r="Z553" i="5"/>
  <c r="AB553" i="5" s="1"/>
  <c r="Z545" i="5"/>
  <c r="AA545" i="5" s="1"/>
  <c r="Z537" i="5"/>
  <c r="AA537" i="5" s="1"/>
  <c r="Z529" i="5"/>
  <c r="AA529" i="5" s="1"/>
  <c r="Z521" i="5"/>
  <c r="AA521" i="5" s="1"/>
  <c r="Z513" i="5"/>
  <c r="AA513" i="5" s="1"/>
  <c r="Z505" i="5"/>
  <c r="Z497" i="5"/>
  <c r="AB497" i="5" s="1"/>
  <c r="Z489" i="5"/>
  <c r="AB489" i="5" s="1"/>
  <c r="Z481" i="5"/>
  <c r="Z473" i="5"/>
  <c r="AA473" i="5" s="1"/>
  <c r="Z465" i="5"/>
  <c r="Z457" i="5"/>
  <c r="AB457" i="5" s="1"/>
  <c r="Z449" i="5"/>
  <c r="AA449" i="5" s="1"/>
  <c r="Z441" i="5"/>
  <c r="AB441" i="5" s="1"/>
  <c r="Z433" i="5"/>
  <c r="Z425" i="5"/>
  <c r="AA425" i="5" s="1"/>
  <c r="Z417" i="5"/>
  <c r="AA417" i="5" s="1"/>
  <c r="Z409" i="5"/>
  <c r="AB409" i="5" s="1"/>
  <c r="Z401" i="5"/>
  <c r="AA401" i="5" s="1"/>
  <c r="Z393" i="5"/>
  <c r="AA393" i="5" s="1"/>
  <c r="Z385" i="5"/>
  <c r="AB385" i="5" s="1"/>
  <c r="Z377" i="5"/>
  <c r="Z369" i="5"/>
  <c r="AB369" i="5" s="1"/>
  <c r="Z361" i="5"/>
  <c r="AB361" i="5" s="1"/>
  <c r="Z353" i="5"/>
  <c r="Z345" i="5"/>
  <c r="Z337" i="5"/>
  <c r="AB337" i="5" s="1"/>
  <c r="Z329" i="5"/>
  <c r="AB329" i="5" s="1"/>
  <c r="Z321" i="5"/>
  <c r="AB321" i="5" s="1"/>
  <c r="Z313" i="5"/>
  <c r="AB313" i="5" s="1"/>
  <c r="Z305" i="5"/>
  <c r="AB305" i="5" s="1"/>
  <c r="Z297" i="5"/>
  <c r="AB297" i="5" s="1"/>
  <c r="Z289" i="5"/>
  <c r="AB289" i="5" s="1"/>
  <c r="Z281" i="5"/>
  <c r="AB281" i="5" s="1"/>
  <c r="Z273" i="5"/>
  <c r="AB273" i="5" s="1"/>
  <c r="Z265" i="5"/>
  <c r="AB265" i="5" s="1"/>
  <c r="Z257" i="5"/>
  <c r="Z249" i="5"/>
  <c r="AA249" i="5" s="1"/>
  <c r="Z241" i="5"/>
  <c r="AB241" i="5" s="1"/>
  <c r="Z233" i="5"/>
  <c r="AA233" i="5" s="1"/>
  <c r="Z225" i="5"/>
  <c r="AB225" i="5" s="1"/>
  <c r="Z217" i="5"/>
  <c r="AA217" i="5" s="1"/>
  <c r="Z209" i="5"/>
  <c r="AA209" i="5" s="1"/>
  <c r="Z201" i="5"/>
  <c r="AB201" i="5" s="1"/>
  <c r="Z193" i="5"/>
  <c r="AB193" i="5" s="1"/>
  <c r="Z185" i="5"/>
  <c r="AB185" i="5" s="1"/>
  <c r="Z177" i="5"/>
  <c r="AB177" i="5" s="1"/>
  <c r="Z169" i="5"/>
  <c r="AA169" i="5" s="1"/>
  <c r="Z161" i="5"/>
  <c r="AA161" i="5" s="1"/>
  <c r="Z153" i="5"/>
  <c r="AB153" i="5" s="1"/>
  <c r="Z145" i="5"/>
  <c r="Z137" i="5"/>
  <c r="AB137" i="5" s="1"/>
  <c r="Z129" i="5"/>
  <c r="AB129" i="5" s="1"/>
  <c r="Z113" i="5"/>
  <c r="Z97" i="5"/>
  <c r="AB97" i="5" s="1"/>
  <c r="Z81" i="5"/>
  <c r="Z65" i="5"/>
  <c r="Z49" i="5"/>
  <c r="AA49" i="5" s="1"/>
  <c r="Z72" i="5"/>
  <c r="AB72" i="5" s="1"/>
  <c r="Z48" i="5"/>
  <c r="AB48" i="5" s="1"/>
  <c r="Z26" i="5"/>
  <c r="AB26" i="5" s="1"/>
  <c r="Z21" i="5"/>
  <c r="AJ9" i="5"/>
  <c r="AK9" i="5" s="1"/>
  <c r="Z9" i="5"/>
  <c r="S240" i="5"/>
  <c r="R312" i="5"/>
  <c r="T11" i="5"/>
  <c r="U11" i="5" s="1"/>
  <c r="Z11" i="5"/>
  <c r="AB11" i="5" s="1"/>
  <c r="R320" i="5"/>
  <c r="S128" i="5"/>
  <c r="U45" i="5"/>
  <c r="AP38" i="5"/>
  <c r="AR38" i="5" s="1"/>
  <c r="AP110" i="5"/>
  <c r="AR110" i="5" s="1"/>
  <c r="AP47" i="5"/>
  <c r="AR47" i="5" s="1"/>
  <c r="AP92" i="5"/>
  <c r="AR92" i="5" s="1"/>
  <c r="AP64" i="5"/>
  <c r="AQ64" i="5" s="1"/>
  <c r="V97" i="5"/>
  <c r="AP340" i="5"/>
  <c r="AR340" i="5" s="1"/>
  <c r="R472" i="5"/>
  <c r="V534" i="5"/>
  <c r="Y184" i="5"/>
  <c r="AP189" i="5"/>
  <c r="AQ189" i="5" s="1"/>
  <c r="V145" i="5"/>
  <c r="V54" i="5"/>
  <c r="AP238" i="5"/>
  <c r="AQ238" i="5" s="1"/>
  <c r="AP42" i="5"/>
  <c r="AR42" i="5" s="1"/>
  <c r="AP506" i="5"/>
  <c r="AQ506" i="5" s="1"/>
  <c r="U143" i="5"/>
  <c r="S224" i="5"/>
  <c r="Y179" i="5"/>
  <c r="Y326" i="5"/>
  <c r="AP112" i="5"/>
  <c r="AR112" i="5" s="1"/>
  <c r="AP497" i="5"/>
  <c r="AR497" i="5" s="1"/>
  <c r="AP276" i="5"/>
  <c r="AR276" i="5" s="1"/>
  <c r="AP146" i="5"/>
  <c r="AQ146" i="5" s="1"/>
  <c r="V99" i="5"/>
  <c r="AL227" i="5"/>
  <c r="S136" i="5"/>
  <c r="R216" i="5"/>
  <c r="R232" i="5"/>
  <c r="Y289" i="5"/>
  <c r="Y51" i="5"/>
  <c r="AP252" i="5"/>
  <c r="AQ252" i="5" s="1"/>
  <c r="AP159" i="5"/>
  <c r="AQ159" i="5" s="1"/>
  <c r="AP406" i="5"/>
  <c r="AQ406" i="5" s="1"/>
  <c r="V21" i="5"/>
  <c r="X553" i="5"/>
  <c r="Y554" i="5"/>
  <c r="X465" i="5"/>
  <c r="AN64" i="5"/>
  <c r="Y260" i="5"/>
  <c r="X274" i="5"/>
  <c r="AP119" i="5"/>
  <c r="AR119" i="5" s="1"/>
  <c r="AP346" i="5"/>
  <c r="AR346" i="5" s="1"/>
  <c r="AP182" i="5"/>
  <c r="AR182" i="5" s="1"/>
  <c r="V102" i="5"/>
  <c r="AP72" i="5"/>
  <c r="AQ72" i="5" s="1"/>
  <c r="AP54" i="5"/>
  <c r="AR54" i="5" s="1"/>
  <c r="Y448" i="5"/>
  <c r="R280" i="5"/>
  <c r="R152" i="5"/>
  <c r="Y301" i="5"/>
  <c r="Y458" i="5"/>
  <c r="P487" i="5"/>
  <c r="S112" i="5"/>
  <c r="S208" i="5"/>
  <c r="S64" i="5"/>
  <c r="K28" i="2"/>
  <c r="K27" i="2"/>
  <c r="AP486" i="5"/>
  <c r="AQ486" i="5" s="1"/>
  <c r="AP359" i="5"/>
  <c r="AQ359" i="5" s="1"/>
  <c r="AP470" i="5"/>
  <c r="AQ470" i="5" s="1"/>
  <c r="AP245" i="5"/>
  <c r="AQ245" i="5" s="1"/>
  <c r="AP418" i="5"/>
  <c r="AR418" i="5" s="1"/>
  <c r="AP258" i="5"/>
  <c r="AQ258" i="5" s="1"/>
  <c r="AP233" i="5"/>
  <c r="AQ233" i="5" s="1"/>
  <c r="AP476" i="5"/>
  <c r="AR476" i="5" s="1"/>
  <c r="AP536" i="5"/>
  <c r="AQ536" i="5" s="1"/>
  <c r="AP560" i="5"/>
  <c r="AQ560" i="5" s="1"/>
  <c r="AP485" i="5"/>
  <c r="AR485" i="5" s="1"/>
  <c r="AP335" i="5"/>
  <c r="AQ335" i="5" s="1"/>
  <c r="AP398" i="5"/>
  <c r="AR398" i="5" s="1"/>
  <c r="N31" i="2"/>
  <c r="AP284" i="5"/>
  <c r="AQ284" i="5" s="1"/>
  <c r="AP24" i="5"/>
  <c r="AR24" i="5" s="1"/>
  <c r="AP306" i="5"/>
  <c r="AR306" i="5" s="1"/>
  <c r="B50" i="5"/>
  <c r="M31" i="2"/>
  <c r="AP512" i="5"/>
  <c r="AQ512" i="5" s="1"/>
  <c r="B153" i="2"/>
  <c r="H39" i="1" s="1"/>
  <c r="L31" i="2"/>
  <c r="AP364" i="5"/>
  <c r="AQ364" i="5" s="1"/>
  <c r="AK451" i="5"/>
  <c r="AP300" i="5"/>
  <c r="AQ300" i="5" s="1"/>
  <c r="M35" i="2"/>
  <c r="N35" i="2" s="1"/>
  <c r="AP492" i="5"/>
  <c r="AR492" i="5" s="1"/>
  <c r="AP557" i="5"/>
  <c r="AQ557" i="5" s="1"/>
  <c r="AP451" i="5"/>
  <c r="AQ451" i="5" s="1"/>
  <c r="X96" i="5"/>
  <c r="X129" i="5"/>
  <c r="Y437" i="5"/>
  <c r="Y320" i="5"/>
  <c r="X319" i="5"/>
  <c r="R392" i="5"/>
  <c r="X156" i="5"/>
  <c r="X276" i="5"/>
  <c r="X399" i="5"/>
  <c r="Y342" i="5"/>
  <c r="S416" i="5"/>
  <c r="R432" i="5"/>
  <c r="Y35" i="5"/>
  <c r="X432" i="5"/>
  <c r="X451" i="5"/>
  <c r="Y28" i="5"/>
  <c r="X100" i="5"/>
  <c r="X394" i="5"/>
  <c r="Y286" i="5"/>
  <c r="R80" i="5"/>
  <c r="X491" i="5"/>
  <c r="S304" i="5"/>
  <c r="S8" i="5"/>
  <c r="Y211" i="5"/>
  <c r="Y69" i="5"/>
  <c r="X240" i="5"/>
  <c r="X355" i="5"/>
  <c r="Y214" i="5"/>
  <c r="X215" i="5"/>
  <c r="X412" i="5"/>
  <c r="Y126" i="5"/>
  <c r="Y517" i="5"/>
  <c r="X310" i="5"/>
  <c r="R488" i="5"/>
  <c r="S104" i="5"/>
  <c r="S344" i="5"/>
  <c r="R464" i="5"/>
  <c r="R32" i="5"/>
  <c r="R40" i="5"/>
  <c r="R456" i="5"/>
  <c r="R424" i="5"/>
  <c r="R168" i="5"/>
  <c r="X218" i="5"/>
  <c r="X259" i="5"/>
  <c r="X192" i="5"/>
  <c r="X52" i="5"/>
  <c r="X525" i="5"/>
  <c r="Y45" i="5"/>
  <c r="X434" i="5"/>
  <c r="Y531" i="5"/>
  <c r="Y55" i="5"/>
  <c r="Y158" i="5"/>
  <c r="X426" i="5"/>
  <c r="Y314" i="5"/>
  <c r="X95" i="5"/>
  <c r="X43" i="5"/>
  <c r="X518" i="5"/>
  <c r="Y264" i="5"/>
  <c r="S448" i="5"/>
  <c r="Y83" i="5"/>
  <c r="X313" i="5"/>
  <c r="Y389" i="5"/>
  <c r="Y383" i="5"/>
  <c r="R512" i="5"/>
  <c r="Y415" i="5"/>
  <c r="Y120" i="5"/>
  <c r="Y219" i="5"/>
  <c r="X128" i="5"/>
  <c r="X334" i="5"/>
  <c r="X117" i="5"/>
  <c r="X329" i="5"/>
  <c r="X155" i="5"/>
  <c r="X278" i="5"/>
  <c r="Y277" i="5"/>
  <c r="Y106" i="5"/>
  <c r="X533" i="5"/>
  <c r="R256" i="5"/>
  <c r="Y378" i="5"/>
  <c r="X302" i="5"/>
  <c r="V117" i="4"/>
  <c r="W117" i="4" s="1"/>
  <c r="Y117" i="4" s="1"/>
  <c r="AS26" i="4"/>
  <c r="U117" i="4"/>
  <c r="AH117" i="4" s="1"/>
  <c r="U115" i="4"/>
  <c r="AH115" i="4" s="1"/>
  <c r="AS87" i="4"/>
  <c r="AS37" i="4"/>
  <c r="U125" i="4"/>
  <c r="AH125" i="4" s="1"/>
  <c r="AS57" i="4"/>
  <c r="V46" i="4"/>
  <c r="AM46" i="4" s="1"/>
  <c r="AN46" i="4" s="1"/>
  <c r="AS115" i="4"/>
  <c r="V37" i="4"/>
  <c r="AM37" i="4" s="1"/>
  <c r="AN37" i="4" s="1"/>
  <c r="V61" i="4"/>
  <c r="AM61" i="4" s="1"/>
  <c r="AN61" i="4" s="1"/>
  <c r="V125" i="4"/>
  <c r="AM125" i="4" s="1"/>
  <c r="AN125" i="4" s="1"/>
  <c r="U14" i="4"/>
  <c r="AH14" i="4" s="1"/>
  <c r="V26" i="4"/>
  <c r="U37" i="4"/>
  <c r="AH37" i="4" s="1"/>
  <c r="V145" i="4"/>
  <c r="AM145" i="4" s="1"/>
  <c r="AN145" i="4" s="1"/>
  <c r="V57" i="4"/>
  <c r="AM57" i="4" s="1"/>
  <c r="AN57" i="4" s="1"/>
  <c r="U46" i="4"/>
  <c r="AH46" i="4" s="1"/>
  <c r="U20" i="4"/>
  <c r="AH20" i="4" s="1"/>
  <c r="U61" i="4"/>
  <c r="AH61" i="4" s="1"/>
  <c r="AS125" i="4"/>
  <c r="U134" i="4"/>
  <c r="AH134" i="4" s="1"/>
  <c r="U87" i="4"/>
  <c r="AH87" i="4" s="1"/>
  <c r="AS131" i="4"/>
  <c r="U145" i="4"/>
  <c r="AH145" i="4" s="1"/>
  <c r="AS46" i="4"/>
  <c r="U142" i="4"/>
  <c r="AH142" i="4" s="1"/>
  <c r="AS20" i="4"/>
  <c r="AS61" i="4"/>
  <c r="V12" i="4"/>
  <c r="AM12" i="4" s="1"/>
  <c r="AN12" i="4" s="1"/>
  <c r="V115" i="4"/>
  <c r="W115" i="4" s="1"/>
  <c r="Y115" i="4" s="1"/>
  <c r="AS145" i="4"/>
  <c r="V16" i="4"/>
  <c r="W16" i="4" s="1"/>
  <c r="Y16" i="4" s="1"/>
  <c r="AS142" i="4"/>
  <c r="V20" i="4"/>
  <c r="AM20" i="4" s="1"/>
  <c r="AN20" i="4" s="1"/>
  <c r="V14" i="4"/>
  <c r="AM14" i="4" s="1"/>
  <c r="AN14" i="4" s="1"/>
  <c r="V66" i="4"/>
  <c r="AM66" i="4" s="1"/>
  <c r="AN66" i="4" s="1"/>
  <c r="U18" i="4"/>
  <c r="U128" i="4"/>
  <c r="AH128" i="4" s="1"/>
  <c r="U57" i="4"/>
  <c r="AH57" i="4" s="1"/>
  <c r="V142" i="4"/>
  <c r="AM142" i="4" s="1"/>
  <c r="AN142" i="4" s="1"/>
  <c r="U16" i="4"/>
  <c r="AH16" i="4" s="1"/>
  <c r="V134" i="4"/>
  <c r="W134" i="4" s="1"/>
  <c r="V128" i="4"/>
  <c r="W128" i="4" s="1"/>
  <c r="AS14" i="4"/>
  <c r="U66" i="4"/>
  <c r="AH66" i="4" s="1"/>
  <c r="X395" i="5"/>
  <c r="Y363" i="5"/>
  <c r="X363" i="5"/>
  <c r="X167" i="5"/>
  <c r="Y167" i="5"/>
  <c r="S546" i="5"/>
  <c r="R546" i="5"/>
  <c r="Y145" i="5"/>
  <c r="X266" i="5"/>
  <c r="Y266" i="5"/>
  <c r="X479" i="5"/>
  <c r="Y479" i="5"/>
  <c r="Y373" i="5"/>
  <c r="X373" i="5"/>
  <c r="X68" i="5"/>
  <c r="Y68" i="5"/>
  <c r="X154" i="5"/>
  <c r="Y154" i="5"/>
  <c r="X132" i="5"/>
  <c r="Y132" i="5"/>
  <c r="X366" i="5"/>
  <c r="Y366" i="5"/>
  <c r="Y262" i="5"/>
  <c r="X262" i="5"/>
  <c r="R376" i="5"/>
  <c r="S376" i="5"/>
  <c r="Y110" i="5"/>
  <c r="X110" i="5"/>
  <c r="Y282" i="5"/>
  <c r="X282" i="5"/>
  <c r="R368" i="5"/>
  <c r="S368" i="5"/>
  <c r="Y331" i="5"/>
  <c r="X331" i="5"/>
  <c r="Y557" i="5"/>
  <c r="X557" i="5"/>
  <c r="R176" i="5"/>
  <c r="S176" i="5"/>
  <c r="S200" i="5"/>
  <c r="R200" i="5"/>
  <c r="S534" i="5"/>
  <c r="R534" i="5"/>
  <c r="X112" i="5"/>
  <c r="Y112" i="5"/>
  <c r="X456" i="5"/>
  <c r="Y456" i="5"/>
  <c r="X343" i="5"/>
  <c r="Y343" i="5"/>
  <c r="S248" i="5"/>
  <c r="Y427" i="5"/>
  <c r="X427" i="5"/>
  <c r="R384" i="5"/>
  <c r="X29" i="5"/>
  <c r="Y56" i="5"/>
  <c r="X56" i="5"/>
  <c r="Y290" i="5"/>
  <c r="X290" i="5"/>
  <c r="Y272" i="5"/>
  <c r="X272" i="5"/>
  <c r="X85" i="5"/>
  <c r="Y50" i="5"/>
  <c r="X50" i="5"/>
  <c r="X269" i="5"/>
  <c r="Y269" i="5"/>
  <c r="Y125" i="5"/>
  <c r="X125" i="5"/>
  <c r="Y212" i="5"/>
  <c r="X212" i="5"/>
  <c r="R48" i="5"/>
  <c r="X137" i="5"/>
  <c r="Y484" i="5"/>
  <c r="Y441" i="5"/>
  <c r="R408" i="5"/>
  <c r="R72" i="5"/>
  <c r="Y323" i="5"/>
  <c r="X435" i="5"/>
  <c r="Y435" i="5"/>
  <c r="X405" i="5"/>
  <c r="Y405" i="5"/>
  <c r="X453" i="5"/>
  <c r="Y115" i="5"/>
  <c r="Y403" i="5"/>
  <c r="X403" i="5"/>
  <c r="R360" i="5"/>
  <c r="X202" i="5"/>
  <c r="S296" i="5"/>
  <c r="Y82" i="5"/>
  <c r="X200" i="5"/>
  <c r="R504" i="5"/>
  <c r="R336" i="5"/>
  <c r="S144" i="5"/>
  <c r="R496" i="5"/>
  <c r="Y332" i="5"/>
  <c r="X409" i="5"/>
  <c r="X86" i="5"/>
  <c r="Y130" i="5"/>
  <c r="Y321" i="5"/>
  <c r="Y288" i="5"/>
  <c r="X358" i="5"/>
  <c r="X541" i="5"/>
  <c r="Y510" i="5"/>
  <c r="R440" i="5"/>
  <c r="Y386" i="5"/>
  <c r="Y424" i="5"/>
  <c r="R264" i="5"/>
  <c r="X78" i="5"/>
  <c r="Y555" i="5"/>
  <c r="Y98" i="5"/>
  <c r="R24" i="5"/>
  <c r="Y63" i="5"/>
  <c r="X298" i="5"/>
  <c r="Y391" i="5"/>
  <c r="X299" i="5"/>
  <c r="Y72" i="5"/>
  <c r="Y361" i="5"/>
  <c r="X549" i="5"/>
  <c r="X60" i="5"/>
  <c r="X257" i="5"/>
  <c r="Y464" i="5"/>
  <c r="X229" i="5"/>
  <c r="X62" i="5"/>
  <c r="X537" i="5"/>
  <c r="Y542" i="5"/>
  <c r="Y287" i="5"/>
  <c r="X387" i="5"/>
  <c r="Y199" i="5"/>
  <c r="Y119" i="5"/>
  <c r="Y253" i="5"/>
  <c r="X198" i="5"/>
  <c r="Y506" i="5"/>
  <c r="X178" i="5"/>
  <c r="Y486" i="5"/>
  <c r="X505" i="5"/>
  <c r="Y189" i="5"/>
  <c r="Y237" i="5"/>
  <c r="X270" i="5"/>
  <c r="X89" i="5"/>
  <c r="Y454" i="5"/>
  <c r="X275" i="5"/>
  <c r="Y139" i="5"/>
  <c r="Y543" i="5"/>
  <c r="X478" i="5"/>
  <c r="X466" i="5"/>
  <c r="X21" i="5"/>
  <c r="Y281" i="5"/>
  <c r="X551" i="5"/>
  <c r="X23" i="5"/>
  <c r="Y38" i="5"/>
  <c r="X247" i="5"/>
  <c r="Y208" i="5"/>
  <c r="X482" i="5"/>
  <c r="Y433" i="5"/>
  <c r="R400" i="5"/>
  <c r="Y480" i="5"/>
  <c r="X511" i="5"/>
  <c r="S56" i="5"/>
  <c r="S272" i="5"/>
  <c r="Y382" i="5"/>
  <c r="Y473" i="5"/>
  <c r="X341" i="5"/>
  <c r="Y271" i="5"/>
  <c r="X300" i="5"/>
  <c r="Y172" i="5"/>
  <c r="Y460" i="5"/>
  <c r="Y305" i="5"/>
  <c r="X400" i="5"/>
  <c r="Y490" i="5"/>
  <c r="X390" i="5"/>
  <c r="X470" i="5"/>
  <c r="Y153" i="5"/>
  <c r="X222" i="5"/>
  <c r="X509" i="5"/>
  <c r="X393" i="5"/>
  <c r="X550" i="5"/>
  <c r="S120" i="5"/>
  <c r="Y293" i="5"/>
  <c r="X445" i="5"/>
  <c r="Y93" i="5"/>
  <c r="X351" i="5"/>
  <c r="Y353" i="5"/>
  <c r="X481" i="5"/>
  <c r="X223" i="5"/>
  <c r="X519" i="5"/>
  <c r="Y169" i="5"/>
  <c r="Y530" i="5"/>
  <c r="X174" i="5"/>
  <c r="X512" i="5"/>
  <c r="X428" i="5"/>
  <c r="X64" i="5"/>
  <c r="X248" i="5"/>
  <c r="X243" i="5"/>
  <c r="Y57" i="5"/>
  <c r="Y444" i="5"/>
  <c r="Y26" i="5"/>
  <c r="Y233" i="5"/>
  <c r="X58" i="5"/>
  <c r="X273" i="5"/>
  <c r="X475" i="5"/>
  <c r="X194" i="5"/>
  <c r="Y46" i="5"/>
  <c r="Y401" i="5"/>
  <c r="Y312" i="5"/>
  <c r="Y180" i="5"/>
  <c r="Y142" i="5"/>
  <c r="X304" i="5"/>
  <c r="W96" i="4"/>
  <c r="Y96" i="4" s="1"/>
  <c r="Y529" i="5"/>
  <c r="Y425" i="5"/>
  <c r="X498" i="5"/>
  <c r="Y131" i="5"/>
  <c r="W73" i="4"/>
  <c r="X73" i="4" s="1"/>
  <c r="X108" i="5"/>
  <c r="Y77" i="5"/>
  <c r="X102" i="5"/>
  <c r="X438" i="5"/>
  <c r="Y197" i="5"/>
  <c r="Y359" i="5"/>
  <c r="X552" i="5"/>
  <c r="X263" i="5"/>
  <c r="Y152" i="5"/>
  <c r="X535" i="5"/>
  <c r="X472" i="5"/>
  <c r="Y42" i="5"/>
  <c r="X36" i="5"/>
  <c r="X546" i="5"/>
  <c r="Y339" i="5"/>
  <c r="X254" i="5"/>
  <c r="Y196" i="5"/>
  <c r="X73" i="5"/>
  <c r="Y239" i="5"/>
  <c r="Y173" i="5"/>
  <c r="X61" i="5"/>
  <c r="Y296" i="5"/>
  <c r="Y381" i="5"/>
  <c r="Y48" i="5"/>
  <c r="X244" i="5"/>
  <c r="Y99" i="5"/>
  <c r="X258" i="5"/>
  <c r="Y22" i="5"/>
  <c r="X536" i="5"/>
  <c r="Y493" i="5"/>
  <c r="X133" i="5"/>
  <c r="Y284" i="5"/>
  <c r="Y463" i="5"/>
  <c r="Y350" i="5"/>
  <c r="Y357" i="5"/>
  <c r="Y317" i="5"/>
  <c r="Y187" i="5"/>
  <c r="Y485" i="5"/>
  <c r="X280" i="5"/>
  <c r="Y500" i="5"/>
  <c r="X507" i="5"/>
  <c r="Y291" i="5"/>
  <c r="X66" i="5"/>
  <c r="Y520" i="5"/>
  <c r="R184" i="5"/>
  <c r="X477" i="5"/>
  <c r="Y402" i="5"/>
  <c r="Y216" i="5"/>
  <c r="R538" i="5"/>
  <c r="Y440" i="5"/>
  <c r="Y101" i="5"/>
  <c r="X327" i="5"/>
  <c r="Y408" i="5"/>
  <c r="Y436" i="5"/>
  <c r="X191" i="5"/>
  <c r="Y376" i="5"/>
  <c r="X515" i="5"/>
  <c r="Y213" i="5"/>
  <c r="X474" i="5"/>
  <c r="Y84" i="5"/>
  <c r="Y346" i="5"/>
  <c r="X261" i="5"/>
  <c r="Y81" i="5"/>
  <c r="Y175" i="5"/>
  <c r="Y526" i="5"/>
  <c r="X392" i="5"/>
  <c r="X354" i="5"/>
  <c r="Y75" i="5"/>
  <c r="Y97" i="5"/>
  <c r="X372" i="5"/>
  <c r="X442" i="5"/>
  <c r="X249" i="5"/>
  <c r="Y487" i="5"/>
  <c r="Y492" i="5"/>
  <c r="Y410" i="5"/>
  <c r="R192" i="5"/>
  <c r="R160" i="5"/>
  <c r="Y238" i="5"/>
  <c r="Y92" i="5"/>
  <c r="Y148" i="5"/>
  <c r="Y20" i="5"/>
  <c r="Y422" i="5"/>
  <c r="Y59" i="5"/>
  <c r="Y267" i="5"/>
  <c r="X32" i="5"/>
  <c r="X79" i="5"/>
  <c r="X201" i="5"/>
  <c r="R352" i="5"/>
  <c r="Y360" i="5"/>
  <c r="X210" i="5"/>
  <c r="X183" i="5"/>
  <c r="Y385" i="5"/>
  <c r="Y279" i="5"/>
  <c r="X504" i="5"/>
  <c r="X88" i="5"/>
  <c r="X559" i="5"/>
  <c r="X170" i="5"/>
  <c r="X283" i="5"/>
  <c r="Y39" i="5"/>
  <c r="X234" i="5"/>
  <c r="X501" i="5"/>
  <c r="X232" i="5"/>
  <c r="X538" i="5"/>
  <c r="X344" i="5"/>
  <c r="Y503" i="5"/>
  <c r="X165" i="5"/>
  <c r="X168" i="5"/>
  <c r="Y265" i="5"/>
  <c r="Y255" i="5"/>
  <c r="X488" i="5"/>
  <c r="X483" i="5"/>
  <c r="X497" i="5"/>
  <c r="X160" i="5"/>
  <c r="X136" i="5"/>
  <c r="Y423" i="5"/>
  <c r="Y121" i="5"/>
  <c r="X455" i="5"/>
  <c r="X508" i="5"/>
  <c r="X164" i="5"/>
  <c r="X375" i="5"/>
  <c r="X540" i="5"/>
  <c r="Y417" i="5"/>
  <c r="X151" i="5"/>
  <c r="Y76" i="5"/>
  <c r="Y371" i="5"/>
  <c r="Y330" i="5"/>
  <c r="X388" i="5"/>
  <c r="Y252" i="5"/>
  <c r="X532" i="5"/>
  <c r="X27" i="5"/>
  <c r="Y54" i="5"/>
  <c r="X207" i="5"/>
  <c r="X449" i="5"/>
  <c r="Y545" i="5"/>
  <c r="Y380" i="5"/>
  <c r="X104" i="5"/>
  <c r="Y30" i="5"/>
  <c r="X306" i="5"/>
  <c r="Y241" i="5"/>
  <c r="X349" i="5"/>
  <c r="X406" i="5"/>
  <c r="Y70" i="5"/>
  <c r="W140" i="4"/>
  <c r="Y140" i="4" s="1"/>
  <c r="AM140" i="4"/>
  <c r="W105" i="4"/>
  <c r="AM105" i="4"/>
  <c r="AS58" i="4"/>
  <c r="AS149" i="4"/>
  <c r="AS157" i="4"/>
  <c r="AS77" i="4"/>
  <c r="V22" i="4"/>
  <c r="AM22" i="4" s="1"/>
  <c r="AN22" i="4" s="1"/>
  <c r="AS39" i="4"/>
  <c r="V109" i="4"/>
  <c r="AM109" i="4" s="1"/>
  <c r="AN109" i="4" s="1"/>
  <c r="X496" i="5"/>
  <c r="Y217" i="5"/>
  <c r="Y221" i="5"/>
  <c r="X333" i="5"/>
  <c r="Y242" i="5"/>
  <c r="Y220" i="5"/>
  <c r="X471" i="5"/>
  <c r="Y150" i="5"/>
  <c r="X140" i="5"/>
  <c r="U24" i="4"/>
  <c r="AH24" i="4" s="1"/>
  <c r="AL84" i="4"/>
  <c r="AS84" i="4"/>
  <c r="AL155" i="4"/>
  <c r="U155" i="4"/>
  <c r="AL118" i="4"/>
  <c r="AS118" i="4"/>
  <c r="Y122" i="5"/>
  <c r="X122" i="5"/>
  <c r="V83" i="4"/>
  <c r="V67" i="4"/>
  <c r="AM67" i="4" s="1"/>
  <c r="AN67" i="4" s="1"/>
  <c r="X328" i="5"/>
  <c r="R288" i="5"/>
  <c r="V39" i="4"/>
  <c r="AM39" i="4" s="1"/>
  <c r="AN39" i="4" s="1"/>
  <c r="AS109" i="4"/>
  <c r="Y467" i="5"/>
  <c r="Y439" i="5"/>
  <c r="Y188" i="5"/>
  <c r="Y236" i="5"/>
  <c r="Y356" i="5"/>
  <c r="Y268" i="5"/>
  <c r="Y159" i="5"/>
  <c r="X476" i="5"/>
  <c r="U109" i="4"/>
  <c r="AH109" i="4" s="1"/>
  <c r="AL10" i="4"/>
  <c r="V10" i="4"/>
  <c r="AL101" i="4"/>
  <c r="U101" i="4"/>
  <c r="AH101" i="4" s="1"/>
  <c r="V101" i="4"/>
  <c r="AL62" i="4"/>
  <c r="AS62" i="4"/>
  <c r="V62" i="4"/>
  <c r="AS96" i="4"/>
  <c r="AL157" i="4"/>
  <c r="U157" i="4"/>
  <c r="AH157" i="4" s="1"/>
  <c r="AL77" i="4"/>
  <c r="U77" i="4"/>
  <c r="AH77" i="4" s="1"/>
  <c r="U42" i="4"/>
  <c r="AH42" i="4" s="1"/>
  <c r="AS33" i="4"/>
  <c r="U67" i="4"/>
  <c r="AH67" i="4" s="1"/>
  <c r="V15" i="4"/>
  <c r="AM15" i="4" s="1"/>
  <c r="AN15" i="4" s="1"/>
  <c r="AS121" i="4"/>
  <c r="V43" i="4"/>
  <c r="W43" i="4" s="1"/>
  <c r="Y43" i="4" s="1"/>
  <c r="X24" i="5"/>
  <c r="X256" i="5"/>
  <c r="AS135" i="4"/>
  <c r="Y352" i="5"/>
  <c r="U39" i="4"/>
  <c r="AH39" i="4" s="1"/>
  <c r="X123" i="5"/>
  <c r="Y246" i="5"/>
  <c r="Y523" i="5"/>
  <c r="Y190" i="5"/>
  <c r="X34" i="5"/>
  <c r="Y544" i="5"/>
  <c r="Y513" i="5"/>
  <c r="X149" i="5"/>
  <c r="V58" i="4"/>
  <c r="U91" i="4"/>
  <c r="AH91" i="4" s="1"/>
  <c r="AS101" i="4"/>
  <c r="AS137" i="4"/>
  <c r="AS42" i="4"/>
  <c r="V33" i="4"/>
  <c r="W33" i="4" s="1"/>
  <c r="Y33" i="4" s="1"/>
  <c r="AS67" i="4"/>
  <c r="AS15" i="4"/>
  <c r="V121" i="4"/>
  <c r="W121" i="4" s="1"/>
  <c r="Y121" i="4" s="1"/>
  <c r="U43" i="4"/>
  <c r="AH43" i="4" s="1"/>
  <c r="U129" i="4"/>
  <c r="AH129" i="4" s="1"/>
  <c r="AM9" i="5"/>
  <c r="AN9" i="5" s="1"/>
  <c r="AH103" i="4"/>
  <c r="V135" i="4"/>
  <c r="AM135" i="4" s="1"/>
  <c r="AN135" i="4" s="1"/>
  <c r="X447" i="5"/>
  <c r="X19" i="5"/>
  <c r="Y407" i="5"/>
  <c r="Y251" i="5"/>
  <c r="Y157" i="5"/>
  <c r="Y80" i="5"/>
  <c r="Y143" i="5"/>
  <c r="AL132" i="4"/>
  <c r="V132" i="4"/>
  <c r="U132" i="4"/>
  <c r="AH132" i="4" s="1"/>
  <c r="AL130" i="4"/>
  <c r="V130" i="4"/>
  <c r="AL98" i="4"/>
  <c r="AS98" i="4"/>
  <c r="Y469" i="5"/>
  <c r="X560" i="5"/>
  <c r="U94" i="4"/>
  <c r="AH94" i="4" s="1"/>
  <c r="V94" i="4"/>
  <c r="AS94" i="4"/>
  <c r="AL94" i="4"/>
  <c r="V155" i="4"/>
  <c r="V24" i="4"/>
  <c r="V129" i="4"/>
  <c r="AM129" i="4" s="1"/>
  <c r="AN129" i="4" s="1"/>
  <c r="AS72" i="4"/>
  <c r="V152" i="4"/>
  <c r="AM152" i="4" s="1"/>
  <c r="AN152" i="4" s="1"/>
  <c r="V148" i="4"/>
  <c r="AM148" i="4" s="1"/>
  <c r="AN148" i="4" s="1"/>
  <c r="X316" i="5"/>
  <c r="Y141" i="5"/>
  <c r="Y67" i="5"/>
  <c r="X177" i="5"/>
  <c r="Y429" i="5"/>
  <c r="Y521" i="5"/>
  <c r="Y430" i="5"/>
  <c r="Y556" i="5"/>
  <c r="X71" i="5"/>
  <c r="X348" i="5"/>
  <c r="X124" i="5"/>
  <c r="AS59" i="4"/>
  <c r="AL59" i="4"/>
  <c r="V59" i="4"/>
  <c r="U59" i="4"/>
  <c r="AH59" i="4" s="1"/>
  <c r="AS79" i="4"/>
  <c r="AL79" i="4"/>
  <c r="U79" i="4"/>
  <c r="AH79" i="4" s="1"/>
  <c r="V79" i="4"/>
  <c r="AL141" i="4"/>
  <c r="V141" i="4"/>
  <c r="AS73" i="4"/>
  <c r="AL73" i="4"/>
  <c r="AN73" i="4" s="1"/>
  <c r="AL133" i="4"/>
  <c r="U133" i="4"/>
  <c r="AH133" i="4" s="1"/>
  <c r="V133" i="4"/>
  <c r="AS18" i="4"/>
  <c r="AS130" i="4"/>
  <c r="AM11" i="5"/>
  <c r="AO11" i="5" s="1"/>
  <c r="AH122" i="4"/>
  <c r="V56" i="4"/>
  <c r="W56" i="4" s="1"/>
  <c r="Y56" i="4" s="1"/>
  <c r="U149" i="4"/>
  <c r="AH149" i="4" s="1"/>
  <c r="AS56" i="4"/>
  <c r="V72" i="4"/>
  <c r="AM72" i="4" s="1"/>
  <c r="AN72" i="4" s="1"/>
  <c r="AS152" i="4"/>
  <c r="U148" i="4"/>
  <c r="AH148" i="4" s="1"/>
  <c r="U22" i="4"/>
  <c r="AH22" i="4" s="1"/>
  <c r="Y384" i="5"/>
  <c r="X340" i="5"/>
  <c r="X114" i="5"/>
  <c r="AL34" i="4"/>
  <c r="AS34" i="4"/>
  <c r="V34" i="4"/>
  <c r="U34" i="4"/>
  <c r="AH34" i="4" s="1"/>
  <c r="AL140" i="4"/>
  <c r="U140" i="4"/>
  <c r="AH140" i="4" s="1"/>
  <c r="AS140" i="4"/>
  <c r="AL143" i="4"/>
  <c r="AS143" i="4"/>
  <c r="AL105" i="4"/>
  <c r="AS105" i="4"/>
  <c r="U105" i="4"/>
  <c r="AL21" i="4"/>
  <c r="V21" i="4"/>
  <c r="U21" i="4"/>
  <c r="AH21" i="4" s="1"/>
  <c r="AS21" i="4"/>
  <c r="AS132" i="4"/>
  <c r="V144" i="4"/>
  <c r="Y8" i="5"/>
  <c r="X338" i="5"/>
  <c r="Y53" i="5"/>
  <c r="X420" i="5"/>
  <c r="X431" i="5"/>
  <c r="Y369" i="5"/>
  <c r="Y90" i="5"/>
  <c r="X548" i="5"/>
  <c r="X522" i="5"/>
  <c r="Y186" i="5"/>
  <c r="X468" i="5"/>
  <c r="X324" i="5"/>
  <c r="X226" i="5"/>
  <c r="X31" i="5"/>
  <c r="Y245" i="5"/>
  <c r="Y33" i="5"/>
  <c r="X195" i="5"/>
  <c r="X311" i="5"/>
  <c r="Y294" i="5"/>
  <c r="Y182" i="5"/>
  <c r="X25" i="5"/>
  <c r="Y494" i="5"/>
  <c r="Y443" i="5"/>
  <c r="X303" i="5"/>
  <c r="Y421" i="5"/>
  <c r="Y524" i="5"/>
  <c r="Y176" i="5"/>
  <c r="X44" i="5"/>
  <c r="Y418" i="5"/>
  <c r="X40" i="5"/>
  <c r="X91" i="5"/>
  <c r="X528" i="5"/>
  <c r="X368" i="5"/>
  <c r="X228" i="5"/>
  <c r="X127" i="5"/>
  <c r="Y127" i="5"/>
  <c r="X461" i="5"/>
  <c r="Y461" i="5"/>
  <c r="Y502" i="5"/>
  <c r="Y450" i="5"/>
  <c r="X309" i="5"/>
  <c r="X146" i="5"/>
  <c r="X166" i="5"/>
  <c r="Y109" i="5"/>
  <c r="Y230" i="5"/>
  <c r="X230" i="5"/>
  <c r="X171" i="5"/>
  <c r="Y171" i="5"/>
  <c r="Y113" i="5"/>
  <c r="X113" i="5"/>
  <c r="Y377" i="5"/>
  <c r="X377" i="5"/>
  <c r="Y193" i="5"/>
  <c r="X193" i="5"/>
  <c r="Y285" i="5"/>
  <c r="X285" i="5"/>
  <c r="X235" i="5"/>
  <c r="Y235" i="5"/>
  <c r="X94" i="5"/>
  <c r="Y370" i="5"/>
  <c r="X370" i="5"/>
  <c r="Y397" i="5"/>
  <c r="X111" i="5"/>
  <c r="X495" i="5"/>
  <c r="Y105" i="5"/>
  <c r="Y396" i="5"/>
  <c r="X367" i="5"/>
  <c r="X414" i="5"/>
  <c r="X462" i="5"/>
  <c r="Y209" i="5"/>
  <c r="X459" i="5"/>
  <c r="Y459" i="5"/>
  <c r="X307" i="5"/>
  <c r="Y307" i="5"/>
  <c r="Y527" i="5"/>
  <c r="AH53" i="4"/>
  <c r="X534" i="5"/>
  <c r="X227" i="5"/>
  <c r="Y116" i="5"/>
  <c r="Y250" i="5"/>
  <c r="Y107" i="5"/>
  <c r="Y162" i="5"/>
  <c r="X295" i="5"/>
  <c r="Y49" i="5"/>
  <c r="X49" i="5"/>
  <c r="X413" i="5"/>
  <c r="X398" i="5"/>
  <c r="Y419" i="5"/>
  <c r="Y558" i="5"/>
  <c r="Y452" i="5"/>
  <c r="X452" i="5"/>
  <c r="X147" i="5"/>
  <c r="Y147" i="5"/>
  <c r="X47" i="5"/>
  <c r="Y47" i="5"/>
  <c r="Y446" i="5"/>
  <c r="X292" i="5"/>
  <c r="Y336" i="5"/>
  <c r="Y41" i="5"/>
  <c r="X347" i="5"/>
  <c r="Y364" i="5"/>
  <c r="Y185" i="5"/>
  <c r="Y37" i="5"/>
  <c r="Y362" i="5"/>
  <c r="Y411" i="5"/>
  <c r="Y144" i="5"/>
  <c r="Y308" i="5"/>
  <c r="X224" i="5"/>
  <c r="Y337" i="5"/>
  <c r="X231" i="5"/>
  <c r="X335" i="5"/>
  <c r="Y297" i="5"/>
  <c r="Y87" i="5"/>
  <c r="Y547" i="5"/>
  <c r="X547" i="5"/>
  <c r="Y318" i="5"/>
  <c r="X322" i="5"/>
  <c r="Y134" i="5"/>
  <c r="Y163" i="5"/>
  <c r="Y539" i="5"/>
  <c r="Y379" i="5"/>
  <c r="Y225" i="5"/>
  <c r="X457" i="5"/>
  <c r="Y325" i="5"/>
  <c r="X325" i="5"/>
  <c r="X489" i="5"/>
  <c r="Y489" i="5"/>
  <c r="X205" i="5"/>
  <c r="Y205" i="5"/>
  <c r="AM143" i="4"/>
  <c r="W143" i="4"/>
  <c r="Y143" i="4" s="1"/>
  <c r="Z143" i="4" s="1"/>
  <c r="AJ11" i="5"/>
  <c r="AK11" i="5" s="1"/>
  <c r="AM84" i="4"/>
  <c r="W84" i="4"/>
  <c r="X138" i="5"/>
  <c r="Y499" i="5"/>
  <c r="X499" i="5"/>
  <c r="Y514" i="5"/>
  <c r="X203" i="5"/>
  <c r="Y103" i="5"/>
  <c r="X103" i="5"/>
  <c r="Y404" i="5"/>
  <c r="X404" i="5"/>
  <c r="X345" i="5"/>
  <c r="Y345" i="5"/>
  <c r="W9" i="5"/>
  <c r="T9" i="5"/>
  <c r="AG9" i="5"/>
  <c r="Q9" i="5"/>
  <c r="X118" i="5"/>
  <c r="Y118" i="5"/>
  <c r="X374" i="5"/>
  <c r="Y374" i="5"/>
  <c r="Y315" i="5"/>
  <c r="X315" i="5"/>
  <c r="X516" i="5"/>
  <c r="P326" i="5"/>
  <c r="P32" i="5"/>
  <c r="P375" i="5"/>
  <c r="P445" i="5"/>
  <c r="P93" i="5"/>
  <c r="P342" i="5"/>
  <c r="P195" i="5"/>
  <c r="P279" i="5"/>
  <c r="P242" i="5"/>
  <c r="P465" i="5"/>
  <c r="P263" i="5"/>
  <c r="P210" i="5"/>
  <c r="P72" i="5"/>
  <c r="P454" i="5"/>
  <c r="P270" i="5"/>
  <c r="P475" i="5"/>
  <c r="P254" i="5"/>
  <c r="P98" i="5"/>
  <c r="P460" i="5"/>
  <c r="P492" i="5"/>
  <c r="P282" i="5"/>
  <c r="P172" i="5"/>
  <c r="P132" i="5"/>
  <c r="P413" i="5"/>
  <c r="P438" i="5"/>
  <c r="P336" i="5"/>
  <c r="P428" i="5"/>
  <c r="P115" i="5"/>
  <c r="P140" i="5"/>
  <c r="P154" i="5"/>
  <c r="P528" i="5"/>
  <c r="P322" i="5"/>
  <c r="P398" i="5"/>
  <c r="P327" i="5"/>
  <c r="P332" i="5"/>
  <c r="P53" i="5"/>
  <c r="P213" i="5"/>
  <c r="P409" i="5"/>
  <c r="P385" i="5"/>
  <c r="P557" i="5"/>
  <c r="P560" i="5"/>
  <c r="P27" i="5"/>
  <c r="P36" i="5"/>
  <c r="P504" i="5"/>
  <c r="P266" i="5"/>
  <c r="P264" i="5"/>
  <c r="P468" i="5"/>
  <c r="P11" i="5"/>
  <c r="P476" i="5"/>
  <c r="P436" i="5"/>
  <c r="P146" i="5"/>
  <c r="P548" i="5"/>
  <c r="P78" i="5"/>
  <c r="P352" i="5"/>
  <c r="P104" i="5"/>
  <c r="P404" i="5"/>
  <c r="P382" i="5"/>
  <c r="P239" i="5"/>
  <c r="P33" i="5"/>
  <c r="P479" i="5"/>
  <c r="P247" i="5"/>
  <c r="P477" i="5"/>
  <c r="P143" i="5"/>
  <c r="P505" i="5"/>
  <c r="P538" i="5"/>
  <c r="P376" i="5"/>
  <c r="P121" i="5"/>
  <c r="P109" i="5"/>
  <c r="P388" i="5"/>
  <c r="P131" i="5"/>
  <c r="P373" i="5"/>
  <c r="P116" i="5"/>
  <c r="P537" i="5"/>
  <c r="P514" i="5"/>
  <c r="P499" i="5"/>
  <c r="P311" i="5"/>
  <c r="P387" i="5"/>
  <c r="P170" i="5"/>
  <c r="P248" i="5"/>
  <c r="P318" i="5"/>
  <c r="P293" i="5"/>
  <c r="P464" i="5"/>
  <c r="P128" i="5"/>
  <c r="P35" i="5"/>
  <c r="P22" i="5"/>
  <c r="P364" i="5"/>
  <c r="P530" i="5"/>
  <c r="P296" i="5"/>
  <c r="P486" i="5"/>
  <c r="P230" i="5"/>
  <c r="P452" i="5"/>
  <c r="P295" i="5"/>
  <c r="P187" i="5"/>
  <c r="P163" i="5"/>
  <c r="P66" i="5"/>
  <c r="P356" i="5"/>
  <c r="P369" i="5"/>
  <c r="P312" i="5"/>
  <c r="P51" i="5"/>
  <c r="P467" i="5"/>
  <c r="P12" i="5"/>
  <c r="P134" i="5"/>
  <c r="P501" i="5"/>
  <c r="P315" i="5"/>
  <c r="P152" i="5"/>
  <c r="P106" i="5"/>
  <c r="P67" i="5"/>
  <c r="P240" i="5"/>
  <c r="P553" i="5"/>
  <c r="P357" i="5"/>
  <c r="P473" i="5"/>
  <c r="P105" i="5"/>
  <c r="P396" i="5"/>
  <c r="P215" i="5"/>
  <c r="P150" i="5"/>
  <c r="P194" i="5"/>
  <c r="P103" i="5"/>
  <c r="P304" i="5"/>
  <c r="P75" i="5"/>
  <c r="P201" i="5"/>
  <c r="P298" i="5"/>
  <c r="P457" i="5"/>
  <c r="P395" i="5"/>
  <c r="P427" i="5"/>
  <c r="P156" i="5"/>
  <c r="P56" i="5"/>
  <c r="P219" i="5"/>
  <c r="P258" i="5"/>
  <c r="P453" i="5"/>
  <c r="P419" i="5"/>
  <c r="P440" i="5"/>
  <c r="P372" i="5"/>
  <c r="P144" i="5"/>
  <c r="P439" i="5"/>
  <c r="P273" i="5"/>
  <c r="P392" i="5"/>
  <c r="P28" i="5"/>
  <c r="P435" i="5"/>
  <c r="P474" i="5"/>
  <c r="P490" i="5"/>
  <c r="P100" i="5"/>
  <c r="P168" i="5"/>
  <c r="P19" i="5"/>
  <c r="P360" i="5"/>
  <c r="P193" i="5"/>
  <c r="P160" i="5"/>
  <c r="P124" i="5"/>
  <c r="P229" i="5"/>
  <c r="P255" i="5"/>
  <c r="P299" i="5"/>
  <c r="P268" i="5"/>
  <c r="P54" i="5"/>
  <c r="P503" i="5"/>
  <c r="P207" i="5"/>
  <c r="P543" i="5"/>
  <c r="P149" i="5"/>
  <c r="P44" i="5"/>
  <c r="P80" i="5"/>
  <c r="P269" i="5"/>
  <c r="P158" i="5"/>
  <c r="P523" i="5"/>
  <c r="P233" i="5"/>
  <c r="P330" i="5"/>
  <c r="P378" i="5"/>
  <c r="P192" i="5"/>
  <c r="P246" i="5"/>
  <c r="P200" i="5"/>
  <c r="P287" i="5"/>
  <c r="P232" i="5"/>
  <c r="P88" i="5"/>
  <c r="P218" i="5"/>
  <c r="P259" i="5"/>
  <c r="P231" i="5"/>
  <c r="P161" i="5"/>
  <c r="P549" i="5"/>
  <c r="P175" i="5"/>
  <c r="P433" i="5"/>
  <c r="P281" i="5"/>
  <c r="P502" i="5"/>
  <c r="P24" i="5"/>
  <c r="P120" i="5"/>
  <c r="P506" i="5"/>
  <c r="P112" i="5"/>
  <c r="P97" i="5"/>
  <c r="P459" i="5"/>
  <c r="P173" i="5"/>
  <c r="P74" i="5"/>
  <c r="P493" i="5"/>
  <c r="P344" i="5"/>
  <c r="P186" i="5"/>
  <c r="P339" i="5"/>
  <c r="P346" i="5"/>
  <c r="P145" i="5"/>
  <c r="P226" i="5"/>
  <c r="P489" i="5"/>
  <c r="P261" i="5"/>
  <c r="P370" i="5"/>
  <c r="P283" i="5"/>
  <c r="P221" i="5"/>
  <c r="P46" i="5"/>
  <c r="P554" i="5"/>
  <c r="P177" i="5"/>
  <c r="P516" i="5"/>
  <c r="P358" i="5"/>
  <c r="P447" i="5"/>
  <c r="P204" i="5"/>
  <c r="P275" i="5"/>
  <c r="P434" i="5"/>
  <c r="P211" i="5"/>
  <c r="P85" i="5"/>
  <c r="P38" i="5"/>
  <c r="P350" i="5"/>
  <c r="P71" i="5"/>
  <c r="P485" i="5"/>
  <c r="P271" i="5"/>
  <c r="P43" i="5"/>
  <c r="P250" i="5"/>
  <c r="P559" i="5"/>
  <c r="P73" i="5"/>
  <c r="P347" i="5"/>
  <c r="P49" i="5"/>
  <c r="P472" i="5"/>
  <c r="P48" i="5"/>
  <c r="P110" i="5"/>
  <c r="P442" i="5"/>
  <c r="P420" i="5"/>
  <c r="P400" i="5"/>
  <c r="P397" i="5"/>
  <c r="P34" i="5"/>
  <c r="P203" i="5"/>
  <c r="P519" i="5"/>
  <c r="P123" i="5"/>
  <c r="P113" i="5"/>
  <c r="P305" i="5"/>
  <c r="P243" i="5"/>
  <c r="P47" i="5"/>
  <c r="P386" i="5"/>
  <c r="P313" i="5"/>
  <c r="P424" i="5"/>
  <c r="P328" i="5"/>
  <c r="P402" i="5"/>
  <c r="P294" i="5"/>
  <c r="P343" i="5"/>
  <c r="P359" i="5"/>
  <c r="P61" i="5"/>
  <c r="P354" i="5"/>
  <c r="P544" i="5"/>
  <c r="P345" i="5"/>
  <c r="P63" i="5"/>
  <c r="P135" i="5"/>
  <c r="P362" i="5"/>
  <c r="P165" i="5"/>
  <c r="P507" i="5"/>
  <c r="P338" i="5"/>
  <c r="P518" i="5"/>
  <c r="P421" i="5"/>
  <c r="P69" i="5"/>
  <c r="P183" i="5"/>
  <c r="P290" i="5"/>
  <c r="P510" i="5"/>
  <c r="P300" i="5"/>
  <c r="P189" i="5"/>
  <c r="P23" i="5"/>
  <c r="P462" i="5"/>
  <c r="P59" i="5"/>
  <c r="P450" i="5"/>
  <c r="P306" i="5"/>
  <c r="P374" i="5"/>
  <c r="P353" i="5"/>
  <c r="P535" i="5"/>
  <c r="P235" i="5"/>
  <c r="P301" i="5"/>
  <c r="P209" i="5"/>
  <c r="P390" i="5"/>
  <c r="P65" i="5"/>
  <c r="P317" i="5"/>
  <c r="P81" i="5"/>
  <c r="P237" i="5"/>
  <c r="P202" i="5"/>
  <c r="P176" i="5"/>
  <c r="P236" i="5"/>
  <c r="P188" i="5"/>
  <c r="P451" i="5"/>
  <c r="P411" i="5"/>
  <c r="P122" i="5"/>
  <c r="P547" i="5"/>
  <c r="P83" i="5"/>
  <c r="P274" i="5"/>
  <c r="P129" i="5"/>
  <c r="P111" i="5"/>
  <c r="P491" i="5"/>
  <c r="P166" i="5"/>
  <c r="P288" i="5"/>
  <c r="P214" i="5"/>
  <c r="P449" i="5"/>
  <c r="P363" i="5"/>
  <c r="P77" i="5"/>
  <c r="P171" i="5"/>
  <c r="P216" i="5"/>
  <c r="P431" i="5"/>
  <c r="P119" i="5"/>
  <c r="P245" i="5"/>
  <c r="P463" i="5"/>
  <c r="P222" i="5"/>
  <c r="P118" i="5"/>
  <c r="P552" i="5"/>
  <c r="P205" i="5"/>
  <c r="P401" i="5"/>
  <c r="P280" i="5"/>
  <c r="P522" i="5"/>
  <c r="P422" i="5"/>
  <c r="P84" i="5"/>
  <c r="P94" i="5"/>
  <c r="P368" i="5"/>
  <c r="P456" i="5"/>
  <c r="P86" i="5"/>
  <c r="P414" i="5"/>
  <c r="P515" i="5"/>
  <c r="P162" i="5"/>
  <c r="P92" i="5"/>
  <c r="P484" i="5"/>
  <c r="P31" i="5"/>
  <c r="P334" i="5"/>
  <c r="P52" i="5"/>
  <c r="P406" i="5"/>
  <c r="P249" i="5"/>
  <c r="P126" i="5"/>
  <c r="P418" i="5"/>
  <c r="P212" i="5"/>
  <c r="P366" i="5"/>
  <c r="P417" i="5"/>
  <c r="P539" i="5"/>
  <c r="P365" i="5"/>
  <c r="P335" i="5"/>
  <c r="P348" i="5"/>
  <c r="P310" i="5"/>
  <c r="P542" i="5"/>
  <c r="P532" i="5"/>
  <c r="P470" i="5"/>
  <c r="P130" i="5"/>
  <c r="P89" i="5"/>
  <c r="P276" i="5"/>
  <c r="P471" i="5"/>
  <c r="P399" i="5"/>
  <c r="P29" i="5"/>
  <c r="P244" i="5"/>
  <c r="P410" i="5"/>
  <c r="P153" i="5"/>
  <c r="P308" i="5"/>
  <c r="P540" i="5"/>
  <c r="P147" i="5"/>
  <c r="P164" i="5"/>
  <c r="P408" i="5"/>
  <c r="P319" i="5"/>
  <c r="P511" i="5"/>
  <c r="P320" i="5"/>
  <c r="P443" i="5"/>
  <c r="P289" i="5"/>
  <c r="P50" i="5"/>
  <c r="P151" i="5"/>
  <c r="P291" i="5"/>
  <c r="P480" i="5"/>
  <c r="P37" i="5"/>
  <c r="P531" i="5"/>
  <c r="P534" i="5"/>
  <c r="P225" i="5"/>
  <c r="P136" i="5"/>
  <c r="P526" i="5"/>
  <c r="P224" i="5"/>
  <c r="P333" i="5"/>
  <c r="P340" i="5"/>
  <c r="P556" i="5"/>
  <c r="P430" i="5"/>
  <c r="P96" i="5"/>
  <c r="P139" i="5"/>
  <c r="P384" i="5"/>
  <c r="P496" i="5"/>
  <c r="P91" i="5"/>
  <c r="P355" i="5"/>
  <c r="P558" i="5"/>
  <c r="P208" i="5"/>
  <c r="P142" i="5"/>
  <c r="P533" i="5"/>
  <c r="P181" i="5"/>
  <c r="P377" i="5"/>
  <c r="P198" i="5"/>
  <c r="P498" i="5"/>
  <c r="P278" i="5"/>
  <c r="P10" i="5"/>
  <c r="P114" i="5"/>
  <c r="P323" i="5"/>
  <c r="P525" i="5"/>
  <c r="P513" i="5"/>
  <c r="P512" i="5"/>
  <c r="P367" i="5"/>
  <c r="P90" i="5"/>
  <c r="P196" i="5"/>
  <c r="P316" i="5"/>
  <c r="P536" i="5"/>
  <c r="P148" i="5"/>
  <c r="P551" i="5"/>
  <c r="P546" i="5"/>
  <c r="P455" i="5"/>
  <c r="P79" i="5"/>
  <c r="P541" i="5"/>
  <c r="P241" i="5"/>
  <c r="P314" i="5"/>
  <c r="P285" i="5"/>
  <c r="P500" i="5"/>
  <c r="P302" i="5"/>
  <c r="P39" i="5"/>
  <c r="P101" i="5"/>
  <c r="P303" i="5"/>
  <c r="P371" i="5"/>
  <c r="P62" i="5"/>
  <c r="P307" i="5"/>
  <c r="P68" i="5"/>
  <c r="P169" i="5"/>
  <c r="P416" i="5"/>
  <c r="P412" i="5"/>
  <c r="P41" i="5"/>
  <c r="P555" i="5"/>
  <c r="P127" i="5"/>
  <c r="P379" i="5"/>
  <c r="P117" i="5"/>
  <c r="P297" i="5"/>
  <c r="P260" i="5"/>
  <c r="P8" i="5"/>
  <c r="P108" i="5"/>
  <c r="P337" i="5"/>
  <c r="P481" i="5"/>
  <c r="P448" i="5"/>
  <c r="P125" i="5"/>
  <c r="P425" i="5"/>
  <c r="P178" i="5"/>
  <c r="P157" i="5"/>
  <c r="P466" i="5"/>
  <c r="P137" i="5"/>
  <c r="P426" i="5"/>
  <c r="P228" i="5"/>
  <c r="P380" i="5"/>
  <c r="P361" i="5"/>
  <c r="P42" i="5"/>
  <c r="P159" i="5"/>
  <c r="P383" i="5"/>
  <c r="P461" i="5"/>
  <c r="P441" i="5"/>
  <c r="P517" i="5"/>
  <c r="P381" i="5"/>
  <c r="P190" i="5"/>
  <c r="P107" i="5"/>
  <c r="P509" i="5"/>
  <c r="P99" i="5"/>
  <c r="P238" i="5"/>
  <c r="P95" i="5"/>
  <c r="P284" i="5"/>
  <c r="P253" i="5"/>
  <c r="P217" i="5"/>
  <c r="P21" i="5"/>
  <c r="P286" i="5"/>
  <c r="P437" i="5"/>
  <c r="P469" i="5"/>
  <c r="P394" i="5"/>
  <c r="P251" i="5"/>
  <c r="P60" i="5"/>
  <c r="P155" i="5"/>
  <c r="P331" i="5"/>
  <c r="P521" i="5"/>
  <c r="P58" i="5"/>
  <c r="P446" i="5"/>
  <c r="P432" i="5"/>
  <c r="P483" i="5"/>
  <c r="P351" i="5"/>
  <c r="P527" i="5"/>
  <c r="P257" i="5"/>
  <c r="P197" i="5"/>
  <c r="P482" i="5"/>
  <c r="P444" i="5"/>
  <c r="P429" i="5"/>
  <c r="P234" i="5"/>
  <c r="P184" i="5"/>
  <c r="P141" i="5"/>
  <c r="P277" i="5"/>
  <c r="P341" i="5"/>
  <c r="P87" i="5"/>
  <c r="P185" i="5"/>
  <c r="P64" i="5"/>
  <c r="P70" i="5"/>
  <c r="P550" i="5"/>
  <c r="P138" i="5"/>
  <c r="P191" i="5"/>
  <c r="P30" i="5"/>
  <c r="P524" i="5"/>
  <c r="P13" i="5"/>
  <c r="P494" i="5"/>
  <c r="P223" i="5"/>
  <c r="P252" i="5"/>
  <c r="P57" i="5"/>
  <c r="P262" i="5"/>
  <c r="P520" i="5"/>
  <c r="P403" i="5"/>
  <c r="P423" i="5"/>
  <c r="P206" i="5"/>
  <c r="P133" i="5"/>
  <c r="P76" i="5"/>
  <c r="P407" i="5"/>
  <c r="P26" i="5"/>
  <c r="P324" i="5"/>
  <c r="P220" i="5"/>
  <c r="P292" i="5"/>
  <c r="P309" i="5"/>
  <c r="P40" i="5"/>
  <c r="P82" i="5"/>
  <c r="P329" i="5"/>
  <c r="P497" i="5"/>
  <c r="P389" i="5"/>
  <c r="P349" i="5"/>
  <c r="P265" i="5"/>
  <c r="P179" i="5"/>
  <c r="P45" i="5"/>
  <c r="P488" i="5"/>
  <c r="P180" i="5"/>
  <c r="P321" i="5"/>
  <c r="P415" i="5"/>
  <c r="P267" i="5"/>
  <c r="P174" i="5"/>
  <c r="P167" i="5"/>
  <c r="P20" i="5"/>
  <c r="P227" i="5"/>
  <c r="P393" i="5"/>
  <c r="P256" i="5"/>
  <c r="P529" i="5"/>
  <c r="P272" i="5"/>
  <c r="P9" i="5"/>
  <c r="P102" i="5"/>
  <c r="P199" i="5"/>
  <c r="P508" i="5"/>
  <c r="P478" i="5"/>
  <c r="P25" i="5"/>
  <c r="P325" i="5"/>
  <c r="P545" i="5"/>
  <c r="P458" i="5"/>
  <c r="P495" i="5"/>
  <c r="P182" i="5"/>
  <c r="P55" i="5"/>
  <c r="P391" i="5"/>
  <c r="P405" i="5"/>
  <c r="S474" i="5"/>
  <c r="R474" i="5"/>
  <c r="R548" i="5"/>
  <c r="S548" i="5"/>
  <c r="R525" i="5"/>
  <c r="S525" i="5"/>
  <c r="S36" i="5"/>
  <c r="R36" i="5"/>
  <c r="R134" i="5"/>
  <c r="S134" i="5"/>
  <c r="R397" i="5"/>
  <c r="S397" i="5"/>
  <c r="S501" i="5"/>
  <c r="R501" i="5"/>
  <c r="R394" i="5"/>
  <c r="S394" i="5"/>
  <c r="R157" i="5"/>
  <c r="S157" i="5"/>
  <c r="R194" i="5"/>
  <c r="S194" i="5"/>
  <c r="S270" i="5"/>
  <c r="R270" i="5"/>
  <c r="R286" i="5"/>
  <c r="S286" i="5"/>
  <c r="R214" i="5"/>
  <c r="S214" i="5"/>
  <c r="R241" i="5"/>
  <c r="S241" i="5"/>
  <c r="R190" i="5"/>
  <c r="S190" i="5"/>
  <c r="S132" i="5"/>
  <c r="R132" i="5"/>
  <c r="R162" i="5"/>
  <c r="S162" i="5"/>
  <c r="S530" i="5"/>
  <c r="R530" i="5"/>
  <c r="S483" i="5"/>
  <c r="R483" i="5"/>
  <c r="R282" i="5"/>
  <c r="S282" i="5"/>
  <c r="S211" i="5"/>
  <c r="R211" i="5"/>
  <c r="R171" i="5"/>
  <c r="S171" i="5"/>
  <c r="R121" i="5"/>
  <c r="S121" i="5"/>
  <c r="R61" i="5"/>
  <c r="S61" i="5"/>
  <c r="S522" i="5"/>
  <c r="R522" i="5"/>
  <c r="S477" i="5"/>
  <c r="R477" i="5"/>
  <c r="R370" i="5"/>
  <c r="S370" i="5"/>
  <c r="S257" i="5"/>
  <c r="R257" i="5"/>
  <c r="R313" i="5"/>
  <c r="S313" i="5"/>
  <c r="R164" i="5"/>
  <c r="S164" i="5"/>
  <c r="S89" i="5"/>
  <c r="R89" i="5"/>
  <c r="S42" i="5"/>
  <c r="R42" i="5"/>
  <c r="S518" i="5"/>
  <c r="R518" i="5"/>
  <c r="R473" i="5"/>
  <c r="S473" i="5"/>
  <c r="R249" i="5"/>
  <c r="S249" i="5"/>
  <c r="S141" i="5"/>
  <c r="R141" i="5"/>
  <c r="R233" i="5"/>
  <c r="S233" i="5"/>
  <c r="S105" i="5"/>
  <c r="R105" i="5"/>
  <c r="R63" i="5"/>
  <c r="S63" i="5"/>
  <c r="S443" i="5"/>
  <c r="R443" i="5"/>
  <c r="R467" i="5"/>
  <c r="S467" i="5"/>
  <c r="R351" i="5"/>
  <c r="S351" i="5"/>
  <c r="S350" i="5"/>
  <c r="R350" i="5"/>
  <c r="S299" i="5"/>
  <c r="R299" i="5"/>
  <c r="R183" i="5"/>
  <c r="S183" i="5"/>
  <c r="S103" i="5"/>
  <c r="R103" i="5"/>
  <c r="S26" i="5"/>
  <c r="R26" i="5"/>
  <c r="S502" i="5"/>
  <c r="R502" i="5"/>
  <c r="S468" i="5"/>
  <c r="R468" i="5"/>
  <c r="S442" i="5"/>
  <c r="R442" i="5"/>
  <c r="S326" i="5"/>
  <c r="R326" i="5"/>
  <c r="S228" i="5"/>
  <c r="R228" i="5"/>
  <c r="R83" i="5"/>
  <c r="S83" i="5"/>
  <c r="R58" i="5"/>
  <c r="S58" i="5"/>
  <c r="R364" i="5"/>
  <c r="S364" i="5"/>
  <c r="R452" i="5"/>
  <c r="S452" i="5"/>
  <c r="R338" i="5"/>
  <c r="S338" i="5"/>
  <c r="S346" i="5"/>
  <c r="R346" i="5"/>
  <c r="S291" i="5"/>
  <c r="R291" i="5"/>
  <c r="S179" i="5"/>
  <c r="R179" i="5"/>
  <c r="R82" i="5"/>
  <c r="S82" i="5"/>
  <c r="S516" i="5"/>
  <c r="R516" i="5"/>
  <c r="S444" i="5"/>
  <c r="R444" i="5"/>
  <c r="S387" i="5"/>
  <c r="R387" i="5"/>
  <c r="S407" i="5"/>
  <c r="R407" i="5"/>
  <c r="R285" i="5"/>
  <c r="S285" i="5"/>
  <c r="R107" i="5"/>
  <c r="S107" i="5"/>
  <c r="R100" i="5"/>
  <c r="S100" i="5"/>
  <c r="S50" i="5"/>
  <c r="R50" i="5"/>
  <c r="S383" i="5"/>
  <c r="R383" i="5"/>
  <c r="S521" i="5"/>
  <c r="R521" i="5"/>
  <c r="S495" i="5"/>
  <c r="R495" i="5"/>
  <c r="R542" i="5"/>
  <c r="S542" i="5"/>
  <c r="R459" i="5"/>
  <c r="S459" i="5"/>
  <c r="S119" i="5"/>
  <c r="R119" i="5"/>
  <c r="R205" i="5"/>
  <c r="S205" i="5"/>
  <c r="R325" i="5"/>
  <c r="S325" i="5"/>
  <c r="S310" i="5"/>
  <c r="R310" i="5"/>
  <c r="S303" i="5"/>
  <c r="R303" i="5"/>
  <c r="S66" i="5"/>
  <c r="R66" i="5"/>
  <c r="S244" i="5"/>
  <c r="R244" i="5"/>
  <c r="R139" i="5"/>
  <c r="S139" i="5"/>
  <c r="S158" i="5"/>
  <c r="R158" i="5"/>
  <c r="R131" i="5"/>
  <c r="S131" i="5"/>
  <c r="R109" i="5"/>
  <c r="S109" i="5"/>
  <c r="R93" i="5"/>
  <c r="S93" i="5"/>
  <c r="R484" i="5"/>
  <c r="S484" i="5"/>
  <c r="S461" i="5"/>
  <c r="R461" i="5"/>
  <c r="S438" i="5"/>
  <c r="R438" i="5"/>
  <c r="S307" i="5"/>
  <c r="R307" i="5"/>
  <c r="R219" i="5"/>
  <c r="S219" i="5"/>
  <c r="R149" i="5"/>
  <c r="S149" i="5"/>
  <c r="R38" i="5"/>
  <c r="S38" i="5"/>
  <c r="R552" i="5"/>
  <c r="S552" i="5"/>
  <c r="S435" i="5"/>
  <c r="R435" i="5"/>
  <c r="R263" i="5"/>
  <c r="S263" i="5"/>
  <c r="R329" i="5"/>
  <c r="S329" i="5"/>
  <c r="R269" i="5"/>
  <c r="S269" i="5"/>
  <c r="S166" i="5"/>
  <c r="R166" i="5"/>
  <c r="S110" i="5"/>
  <c r="R110" i="5"/>
  <c r="S19" i="5"/>
  <c r="R19" i="5"/>
  <c r="R465" i="5"/>
  <c r="S465" i="5"/>
  <c r="R453" i="5"/>
  <c r="S453" i="5"/>
  <c r="S423" i="5"/>
  <c r="R423" i="5"/>
  <c r="R300" i="5"/>
  <c r="S300" i="5"/>
  <c r="R191" i="5"/>
  <c r="S191" i="5"/>
  <c r="R140" i="5"/>
  <c r="S140" i="5"/>
  <c r="R59" i="5"/>
  <c r="S59" i="5"/>
  <c r="R532" i="5"/>
  <c r="S532" i="5"/>
  <c r="R422" i="5"/>
  <c r="S422" i="5"/>
  <c r="S414" i="5"/>
  <c r="R414" i="5"/>
  <c r="S317" i="5"/>
  <c r="R317" i="5"/>
  <c r="R246" i="5"/>
  <c r="S246" i="5"/>
  <c r="R145" i="5"/>
  <c r="S145" i="5"/>
  <c r="R87" i="5"/>
  <c r="S87" i="5"/>
  <c r="S539" i="5"/>
  <c r="R539" i="5"/>
  <c r="S449" i="5"/>
  <c r="R449" i="5"/>
  <c r="R393" i="5"/>
  <c r="S393" i="5"/>
  <c r="S411" i="5"/>
  <c r="R411" i="5"/>
  <c r="R293" i="5"/>
  <c r="S293" i="5"/>
  <c r="S186" i="5"/>
  <c r="R186" i="5"/>
  <c r="R125" i="5"/>
  <c r="S125" i="5"/>
  <c r="S27" i="5"/>
  <c r="R27" i="5"/>
  <c r="R508" i="5"/>
  <c r="S508" i="5"/>
  <c r="R410" i="5"/>
  <c r="S410" i="5"/>
  <c r="R404" i="5"/>
  <c r="S404" i="5"/>
  <c r="S309" i="5"/>
  <c r="R309" i="5"/>
  <c r="R213" i="5"/>
  <c r="S213" i="5"/>
  <c r="S188" i="5"/>
  <c r="R188" i="5"/>
  <c r="S95" i="5"/>
  <c r="R95" i="5"/>
  <c r="R544" i="5"/>
  <c r="S544" i="5"/>
  <c r="S510" i="5"/>
  <c r="R510" i="5"/>
  <c r="S412" i="5"/>
  <c r="R412" i="5"/>
  <c r="R372" i="5"/>
  <c r="S372" i="5"/>
  <c r="S229" i="5"/>
  <c r="R229" i="5"/>
  <c r="R199" i="5"/>
  <c r="S199" i="5"/>
  <c r="R137" i="5"/>
  <c r="S137" i="5"/>
  <c r="S25" i="5"/>
  <c r="R25" i="5"/>
  <c r="R262" i="5"/>
  <c r="S262" i="5"/>
  <c r="R267" i="5"/>
  <c r="S267" i="5"/>
  <c r="S405" i="5"/>
  <c r="R405" i="5"/>
  <c r="R511" i="5"/>
  <c r="S511" i="5"/>
  <c r="R490" i="5"/>
  <c r="S490" i="5"/>
  <c r="R537" i="5"/>
  <c r="S537" i="5"/>
  <c r="S65" i="5"/>
  <c r="R65" i="5"/>
  <c r="R49" i="5"/>
  <c r="S49" i="5"/>
  <c r="R54" i="5"/>
  <c r="S54" i="5"/>
  <c r="R528" i="5"/>
  <c r="S528" i="5"/>
  <c r="R428" i="5"/>
  <c r="S428" i="5"/>
  <c r="S122" i="5"/>
  <c r="R122" i="5"/>
  <c r="R78" i="5"/>
  <c r="S78" i="5"/>
  <c r="S37" i="5"/>
  <c r="R37" i="5"/>
  <c r="S34" i="5"/>
  <c r="R34" i="5"/>
  <c r="R39" i="5"/>
  <c r="S39" i="5"/>
  <c r="S505" i="5"/>
  <c r="R505" i="5"/>
  <c r="S437" i="5"/>
  <c r="R437" i="5"/>
  <c r="S381" i="5"/>
  <c r="R381" i="5"/>
  <c r="R396" i="5"/>
  <c r="S396" i="5"/>
  <c r="R281" i="5"/>
  <c r="S281" i="5"/>
  <c r="R251" i="5"/>
  <c r="S251" i="5"/>
  <c r="S98" i="5"/>
  <c r="R98" i="5"/>
  <c r="R46" i="5"/>
  <c r="S46" i="5"/>
  <c r="S481" i="5"/>
  <c r="R481" i="5"/>
  <c r="R337" i="5"/>
  <c r="S337" i="5"/>
  <c r="R388" i="5"/>
  <c r="S388" i="5"/>
  <c r="R287" i="5"/>
  <c r="S287" i="5"/>
  <c r="S101" i="5"/>
  <c r="R101" i="5"/>
  <c r="S163" i="5"/>
  <c r="R163" i="5"/>
  <c r="R91" i="5"/>
  <c r="S91" i="5"/>
  <c r="R429" i="5"/>
  <c r="S429" i="5"/>
  <c r="S342" i="5"/>
  <c r="R342" i="5"/>
  <c r="S359" i="5"/>
  <c r="R359" i="5"/>
  <c r="S386" i="5"/>
  <c r="R386" i="5"/>
  <c r="S259" i="5"/>
  <c r="R259" i="5"/>
  <c r="S238" i="5"/>
  <c r="R238" i="5"/>
  <c r="R154" i="5"/>
  <c r="S154" i="5"/>
  <c r="S35" i="5"/>
  <c r="R35" i="5"/>
  <c r="S447" i="5"/>
  <c r="R447" i="5"/>
  <c r="S252" i="5"/>
  <c r="R252" i="5"/>
  <c r="S379" i="5"/>
  <c r="R379" i="5"/>
  <c r="R278" i="5"/>
  <c r="S278" i="5"/>
  <c r="S237" i="5"/>
  <c r="R237" i="5"/>
  <c r="S92" i="5"/>
  <c r="R92" i="5"/>
  <c r="S77" i="5"/>
  <c r="R77" i="5"/>
  <c r="R403" i="5"/>
  <c r="S403" i="5"/>
  <c r="S520" i="5"/>
  <c r="R520" i="5"/>
  <c r="S421" i="5"/>
  <c r="R421" i="5"/>
  <c r="R380" i="5"/>
  <c r="S380" i="5"/>
  <c r="S253" i="5"/>
  <c r="R253" i="5"/>
  <c r="S235" i="5"/>
  <c r="R235" i="5"/>
  <c r="S151" i="5"/>
  <c r="R151" i="5"/>
  <c r="S30" i="5"/>
  <c r="R30" i="5"/>
  <c r="R559" i="5"/>
  <c r="S559" i="5"/>
  <c r="R524" i="5"/>
  <c r="S524" i="5"/>
  <c r="R365" i="5"/>
  <c r="S365" i="5"/>
  <c r="S275" i="5"/>
  <c r="R275" i="5"/>
  <c r="S231" i="5"/>
  <c r="R231" i="5"/>
  <c r="R155" i="5"/>
  <c r="S155" i="5"/>
  <c r="S71" i="5"/>
  <c r="R71" i="5"/>
  <c r="R558" i="5"/>
  <c r="S558" i="5"/>
  <c r="S486" i="5"/>
  <c r="R486" i="5"/>
  <c r="R377" i="5"/>
  <c r="S377" i="5"/>
  <c r="S289" i="5"/>
  <c r="R289" i="5"/>
  <c r="S323" i="5"/>
  <c r="R323" i="5"/>
  <c r="S178" i="5"/>
  <c r="R178" i="5"/>
  <c r="S108" i="5"/>
  <c r="R108" i="5"/>
  <c r="S47" i="5"/>
  <c r="R47" i="5"/>
  <c r="S212" i="5"/>
  <c r="R212" i="5"/>
  <c r="R148" i="5"/>
  <c r="S148" i="5"/>
  <c r="S193" i="5"/>
  <c r="R193" i="5"/>
  <c r="S260" i="5"/>
  <c r="R260" i="5"/>
  <c r="R22" i="5"/>
  <c r="S22" i="5"/>
  <c r="R560" i="5"/>
  <c r="S560" i="5"/>
  <c r="S182" i="5"/>
  <c r="R182" i="5"/>
  <c r="S462" i="5"/>
  <c r="R462" i="5"/>
  <c r="R97" i="5"/>
  <c r="S97" i="5"/>
  <c r="R62" i="5"/>
  <c r="S62" i="5"/>
  <c r="S84" i="5"/>
  <c r="R84" i="5"/>
  <c r="S458" i="5"/>
  <c r="R458" i="5"/>
  <c r="R513" i="5"/>
  <c r="S513" i="5"/>
  <c r="R507" i="5"/>
  <c r="S507" i="5"/>
  <c r="S551" i="5"/>
  <c r="R551" i="5"/>
  <c r="S533" i="5"/>
  <c r="R533" i="5"/>
  <c r="R506" i="5"/>
  <c r="S506" i="5"/>
  <c r="R406" i="5"/>
  <c r="S406" i="5"/>
  <c r="S371" i="5"/>
  <c r="R371" i="5"/>
  <c r="R218" i="5"/>
  <c r="S218" i="5"/>
  <c r="R198" i="5"/>
  <c r="S198" i="5"/>
  <c r="S135" i="5"/>
  <c r="R135" i="5"/>
  <c r="R43" i="5"/>
  <c r="S43" i="5"/>
  <c r="S545" i="5"/>
  <c r="R545" i="5"/>
  <c r="S519" i="5"/>
  <c r="R519" i="5"/>
  <c r="S354" i="5"/>
  <c r="R354" i="5"/>
  <c r="S265" i="5"/>
  <c r="R265" i="5"/>
  <c r="S217" i="5"/>
  <c r="R217" i="5"/>
  <c r="R147" i="5"/>
  <c r="S147" i="5"/>
  <c r="S81" i="5"/>
  <c r="R81" i="5"/>
  <c r="R466" i="5"/>
  <c r="S466" i="5"/>
  <c r="S492" i="5"/>
  <c r="R492" i="5"/>
  <c r="S398" i="5"/>
  <c r="R398" i="5"/>
  <c r="S334" i="5"/>
  <c r="R334" i="5"/>
  <c r="R196" i="5"/>
  <c r="S196" i="5"/>
  <c r="R181" i="5"/>
  <c r="S181" i="5"/>
  <c r="S123" i="5"/>
  <c r="R123" i="5"/>
  <c r="R23" i="5"/>
  <c r="S23" i="5"/>
  <c r="S541" i="5"/>
  <c r="R541" i="5"/>
  <c r="S503" i="5"/>
  <c r="R503" i="5"/>
  <c r="R343" i="5"/>
  <c r="S343" i="5"/>
  <c r="R243" i="5"/>
  <c r="S243" i="5"/>
  <c r="S206" i="5"/>
  <c r="R206" i="5"/>
  <c r="R129" i="5"/>
  <c r="S129" i="5"/>
  <c r="S70" i="5"/>
  <c r="R70" i="5"/>
  <c r="S557" i="5"/>
  <c r="R557" i="5"/>
  <c r="S489" i="5"/>
  <c r="R489" i="5"/>
  <c r="S395" i="5"/>
  <c r="R395" i="5"/>
  <c r="R306" i="5"/>
  <c r="S306" i="5"/>
  <c r="S331" i="5"/>
  <c r="R331" i="5"/>
  <c r="R202" i="5"/>
  <c r="S202" i="5"/>
  <c r="R117" i="5"/>
  <c r="S117" i="5"/>
  <c r="R20" i="5"/>
  <c r="S20" i="5"/>
  <c r="R536" i="5"/>
  <c r="S536" i="5"/>
  <c r="R500" i="5"/>
  <c r="S500" i="5"/>
  <c r="S314" i="5"/>
  <c r="R314" i="5"/>
  <c r="R223" i="5"/>
  <c r="S223" i="5"/>
  <c r="S204" i="5"/>
  <c r="R204" i="5"/>
  <c r="S126" i="5"/>
  <c r="R126" i="5"/>
  <c r="S69" i="5"/>
  <c r="R69" i="5"/>
  <c r="S550" i="5"/>
  <c r="R550" i="5"/>
  <c r="S446" i="5"/>
  <c r="R446" i="5"/>
  <c r="S327" i="5"/>
  <c r="R327" i="5"/>
  <c r="R341" i="5"/>
  <c r="S341" i="5"/>
  <c r="R284" i="5"/>
  <c r="S284" i="5"/>
  <c r="R175" i="5"/>
  <c r="S175" i="5"/>
  <c r="S44" i="5"/>
  <c r="R44" i="5"/>
  <c r="R311" i="5"/>
  <c r="S311" i="5"/>
  <c r="S222" i="5"/>
  <c r="R222" i="5"/>
  <c r="S215" i="5"/>
  <c r="R215" i="5"/>
  <c r="R209" i="5"/>
  <c r="S209" i="5"/>
  <c r="S333" i="5"/>
  <c r="R333" i="5"/>
  <c r="S127" i="5"/>
  <c r="R127" i="5"/>
  <c r="R116" i="5"/>
  <c r="S116" i="5"/>
  <c r="S439" i="5"/>
  <c r="R439" i="5"/>
  <c r="S113" i="5"/>
  <c r="R113" i="5"/>
  <c r="R167" i="5"/>
  <c r="S167" i="5"/>
  <c r="S543" i="5"/>
  <c r="R543" i="5"/>
  <c r="S362" i="5"/>
  <c r="R362" i="5"/>
  <c r="S493" i="5"/>
  <c r="R493" i="5"/>
  <c r="S470" i="5"/>
  <c r="R470" i="5"/>
  <c r="R434" i="5"/>
  <c r="S434" i="5"/>
  <c r="R549" i="5"/>
  <c r="S549" i="5"/>
  <c r="R482" i="5"/>
  <c r="S482" i="5"/>
  <c r="R374" i="5"/>
  <c r="S374" i="5"/>
  <c r="S273" i="5"/>
  <c r="R273" i="5"/>
  <c r="R316" i="5"/>
  <c r="S316" i="5"/>
  <c r="S170" i="5"/>
  <c r="R170" i="5"/>
  <c r="S99" i="5"/>
  <c r="R99" i="5"/>
  <c r="S45" i="5"/>
  <c r="R45" i="5"/>
  <c r="S529" i="5"/>
  <c r="R529" i="5"/>
  <c r="S475" i="5"/>
  <c r="R475" i="5"/>
  <c r="R279" i="5"/>
  <c r="S279" i="5"/>
  <c r="R173" i="5"/>
  <c r="S173" i="5"/>
  <c r="R165" i="5"/>
  <c r="S165" i="5"/>
  <c r="R118" i="5"/>
  <c r="S118" i="5"/>
  <c r="R57" i="5"/>
  <c r="S57" i="5"/>
  <c r="R460" i="5"/>
  <c r="S460" i="5"/>
  <c r="S469" i="5"/>
  <c r="R469" i="5"/>
  <c r="S358" i="5"/>
  <c r="R358" i="5"/>
  <c r="R357" i="5"/>
  <c r="S357" i="5"/>
  <c r="R302" i="5"/>
  <c r="S302" i="5"/>
  <c r="R185" i="5"/>
  <c r="S185" i="5"/>
  <c r="S106" i="5"/>
  <c r="R106" i="5"/>
  <c r="S31" i="5"/>
  <c r="R31" i="5"/>
  <c r="R509" i="5"/>
  <c r="S509" i="5"/>
  <c r="R471" i="5"/>
  <c r="S471" i="5"/>
  <c r="S245" i="5"/>
  <c r="R245" i="5"/>
  <c r="S330" i="5"/>
  <c r="R330" i="5"/>
  <c r="S230" i="5"/>
  <c r="R230" i="5"/>
  <c r="R102" i="5"/>
  <c r="S102" i="5"/>
  <c r="R60" i="5"/>
  <c r="S60" i="5"/>
  <c r="S430" i="5"/>
  <c r="R430" i="5"/>
  <c r="R457" i="5"/>
  <c r="S457" i="5"/>
  <c r="S347" i="5"/>
  <c r="R347" i="5"/>
  <c r="S348" i="5"/>
  <c r="R348" i="5"/>
  <c r="R292" i="5"/>
  <c r="S292" i="5"/>
  <c r="S180" i="5"/>
  <c r="R180" i="5"/>
  <c r="S94" i="5"/>
  <c r="R94" i="5"/>
  <c r="S21" i="5"/>
  <c r="R21" i="5"/>
  <c r="S497" i="5"/>
  <c r="R497" i="5"/>
  <c r="S463" i="5"/>
  <c r="R463" i="5"/>
  <c r="S441" i="5"/>
  <c r="R441" i="5"/>
  <c r="R321" i="5"/>
  <c r="S321" i="5"/>
  <c r="R225" i="5"/>
  <c r="S225" i="5"/>
  <c r="R159" i="5"/>
  <c r="S159" i="5"/>
  <c r="S55" i="5"/>
  <c r="R55" i="5"/>
  <c r="S498" i="5"/>
  <c r="R498" i="5"/>
  <c r="S369" i="5"/>
  <c r="R369" i="5"/>
  <c r="R402" i="5"/>
  <c r="S402" i="5"/>
  <c r="R297" i="5"/>
  <c r="S297" i="5"/>
  <c r="R203" i="5"/>
  <c r="S203" i="5"/>
  <c r="R174" i="5"/>
  <c r="S174" i="5"/>
  <c r="R86" i="5"/>
  <c r="S86" i="5"/>
  <c r="S261" i="5"/>
  <c r="R261" i="5"/>
  <c r="R361" i="5"/>
  <c r="S361" i="5"/>
  <c r="S356" i="5"/>
  <c r="R356" i="5"/>
  <c r="R349" i="5"/>
  <c r="S349" i="5"/>
  <c r="R332" i="5"/>
  <c r="S332" i="5"/>
  <c r="S340" i="5"/>
  <c r="R340" i="5"/>
  <c r="R487" i="5"/>
  <c r="S487" i="5"/>
  <c r="S494" i="5"/>
  <c r="R494" i="5"/>
  <c r="R454" i="5"/>
  <c r="S454" i="5"/>
  <c r="R478" i="5"/>
  <c r="S478" i="5"/>
  <c r="R517" i="5"/>
  <c r="S517" i="5"/>
  <c r="R366" i="5"/>
  <c r="S366" i="5"/>
  <c r="S401" i="5"/>
  <c r="R401" i="5"/>
  <c r="S367" i="5"/>
  <c r="R367" i="5"/>
  <c r="S419" i="5"/>
  <c r="R419" i="5"/>
  <c r="S555" i="5"/>
  <c r="R555" i="5"/>
  <c r="S436" i="5"/>
  <c r="R436" i="5"/>
  <c r="S322" i="5"/>
  <c r="R322" i="5"/>
  <c r="S339" i="5"/>
  <c r="R339" i="5"/>
  <c r="R276" i="5"/>
  <c r="S276" i="5"/>
  <c r="S172" i="5"/>
  <c r="R172" i="5"/>
  <c r="S111" i="5"/>
  <c r="R111" i="5"/>
  <c r="AG11" i="5"/>
  <c r="Q11" i="5"/>
  <c r="W11" i="5"/>
  <c r="R479" i="5"/>
  <c r="S479" i="5"/>
  <c r="S455" i="5"/>
  <c r="R455" i="5"/>
  <c r="S431" i="5"/>
  <c r="R431" i="5"/>
  <c r="R305" i="5"/>
  <c r="S305" i="5"/>
  <c r="S210" i="5"/>
  <c r="R210" i="5"/>
  <c r="S146" i="5"/>
  <c r="R146" i="5"/>
  <c r="R67" i="5"/>
  <c r="S67" i="5"/>
  <c r="S547" i="5"/>
  <c r="R547" i="5"/>
  <c r="R425" i="5"/>
  <c r="S425" i="5"/>
  <c r="R417" i="5"/>
  <c r="S417" i="5"/>
  <c r="R319" i="5"/>
  <c r="S319" i="5"/>
  <c r="S258" i="5"/>
  <c r="R258" i="5"/>
  <c r="R161" i="5"/>
  <c r="S161" i="5"/>
  <c r="S90" i="5"/>
  <c r="R90" i="5"/>
  <c r="S540" i="5"/>
  <c r="R540" i="5"/>
  <c r="R450" i="5"/>
  <c r="S450" i="5"/>
  <c r="R433" i="5"/>
  <c r="S433" i="5"/>
  <c r="R418" i="5"/>
  <c r="S418" i="5"/>
  <c r="R298" i="5"/>
  <c r="S298" i="5"/>
  <c r="S189" i="5"/>
  <c r="R189" i="5"/>
  <c r="S138" i="5"/>
  <c r="R138" i="5"/>
  <c r="S51" i="5"/>
  <c r="R51" i="5"/>
  <c r="R515" i="5"/>
  <c r="S515" i="5"/>
  <c r="S420" i="5"/>
  <c r="R420" i="5"/>
  <c r="R413" i="5"/>
  <c r="S413" i="5"/>
  <c r="R315" i="5"/>
  <c r="S315" i="5"/>
  <c r="S227" i="5"/>
  <c r="R227" i="5"/>
  <c r="R130" i="5"/>
  <c r="S130" i="5"/>
  <c r="R85" i="5"/>
  <c r="S85" i="5"/>
  <c r="S531" i="5"/>
  <c r="R531" i="5"/>
  <c r="S445" i="5"/>
  <c r="R445" i="5"/>
  <c r="R390" i="5"/>
  <c r="S390" i="5"/>
  <c r="S409" i="5"/>
  <c r="R409" i="5"/>
  <c r="S290" i="5"/>
  <c r="R290" i="5"/>
  <c r="S177" i="5"/>
  <c r="R177" i="5"/>
  <c r="S114" i="5"/>
  <c r="R114" i="5"/>
  <c r="R52" i="5"/>
  <c r="S52" i="5"/>
  <c r="R553" i="5"/>
  <c r="S553" i="5"/>
  <c r="S523" i="5"/>
  <c r="R523" i="5"/>
  <c r="S363" i="5"/>
  <c r="R363" i="5"/>
  <c r="S274" i="5"/>
  <c r="R274" i="5"/>
  <c r="S226" i="5"/>
  <c r="R226" i="5"/>
  <c r="R150" i="5"/>
  <c r="S150" i="5"/>
  <c r="R73" i="5"/>
  <c r="S73" i="5"/>
  <c r="S476" i="5"/>
  <c r="R476" i="5"/>
  <c r="S266" i="5"/>
  <c r="R266" i="5"/>
  <c r="S28" i="5"/>
  <c r="R28" i="5"/>
  <c r="S133" i="5"/>
  <c r="R133" i="5"/>
  <c r="R74" i="5"/>
  <c r="S74" i="5"/>
  <c r="R207" i="5"/>
  <c r="S207" i="5"/>
  <c r="R239" i="5"/>
  <c r="S239" i="5"/>
  <c r="S295" i="5"/>
  <c r="R295" i="5"/>
  <c r="R221" i="5"/>
  <c r="S221" i="5"/>
  <c r="R143" i="5"/>
  <c r="S143" i="5"/>
  <c r="S335" i="5"/>
  <c r="R335" i="5"/>
  <c r="S353" i="5"/>
  <c r="R353" i="5"/>
  <c r="S389" i="5"/>
  <c r="R389" i="5"/>
  <c r="R355" i="5"/>
  <c r="S355" i="5"/>
  <c r="R254" i="5"/>
  <c r="S254" i="5"/>
  <c r="R324" i="5"/>
  <c r="S324" i="5"/>
  <c r="S491" i="5"/>
  <c r="R491" i="5"/>
  <c r="R345" i="5"/>
  <c r="S345" i="5"/>
  <c r="R399" i="5"/>
  <c r="S399" i="5"/>
  <c r="R294" i="5"/>
  <c r="S294" i="5"/>
  <c r="S187" i="5"/>
  <c r="R187" i="5"/>
  <c r="R169" i="5"/>
  <c r="S169" i="5"/>
  <c r="R76" i="5"/>
  <c r="S76" i="5"/>
  <c r="R499" i="5"/>
  <c r="S499" i="5"/>
  <c r="S426" i="5"/>
  <c r="R426" i="5"/>
  <c r="R378" i="5"/>
  <c r="S378" i="5"/>
  <c r="S391" i="5"/>
  <c r="R391" i="5"/>
  <c r="S271" i="5"/>
  <c r="R271" i="5"/>
  <c r="S250" i="5"/>
  <c r="R250" i="5"/>
  <c r="R53" i="5"/>
  <c r="S53" i="5"/>
  <c r="S41" i="5"/>
  <c r="R41" i="5"/>
  <c r="R451" i="5"/>
  <c r="S451" i="5"/>
  <c r="R301" i="5"/>
  <c r="S301" i="5"/>
  <c r="S382" i="5"/>
  <c r="R382" i="5"/>
  <c r="S283" i="5"/>
  <c r="R283" i="5"/>
  <c r="R242" i="5"/>
  <c r="S242" i="5"/>
  <c r="R115" i="5"/>
  <c r="S115" i="5"/>
  <c r="R79" i="5"/>
  <c r="S79" i="5"/>
  <c r="S427" i="5"/>
  <c r="R427" i="5"/>
  <c r="R197" i="5"/>
  <c r="S197" i="5"/>
  <c r="S318" i="5"/>
  <c r="R318" i="5"/>
  <c r="S385" i="5"/>
  <c r="R385" i="5"/>
  <c r="R255" i="5"/>
  <c r="S255" i="5"/>
  <c r="S236" i="5"/>
  <c r="R236" i="5"/>
  <c r="R153" i="5"/>
  <c r="S153" i="5"/>
  <c r="S33" i="5"/>
  <c r="R33" i="5"/>
  <c r="R268" i="5"/>
  <c r="S268" i="5"/>
  <c r="S527" i="5"/>
  <c r="R527" i="5"/>
  <c r="R373" i="5"/>
  <c r="S373" i="5"/>
  <c r="S277" i="5"/>
  <c r="R277" i="5"/>
  <c r="S234" i="5"/>
  <c r="R234" i="5"/>
  <c r="S156" i="5"/>
  <c r="R156" i="5"/>
  <c r="S75" i="5"/>
  <c r="R75" i="5"/>
  <c r="R556" i="5"/>
  <c r="S556" i="5"/>
  <c r="S514" i="5"/>
  <c r="R514" i="5"/>
  <c r="R415" i="5"/>
  <c r="S415" i="5"/>
  <c r="S375" i="5"/>
  <c r="R375" i="5"/>
  <c r="R247" i="5"/>
  <c r="S247" i="5"/>
  <c r="S201" i="5"/>
  <c r="R201" i="5"/>
  <c r="R142" i="5"/>
  <c r="S142" i="5"/>
  <c r="S29" i="5"/>
  <c r="R29" i="5"/>
  <c r="S535" i="5"/>
  <c r="R535" i="5"/>
  <c r="R485" i="5"/>
  <c r="S485" i="5"/>
  <c r="S308" i="5"/>
  <c r="R308" i="5"/>
  <c r="S220" i="5"/>
  <c r="R220" i="5"/>
  <c r="S195" i="5"/>
  <c r="R195" i="5"/>
  <c r="R124" i="5"/>
  <c r="S124" i="5"/>
  <c r="R68" i="5"/>
  <c r="S68" i="5"/>
  <c r="AP525" i="5"/>
  <c r="AR525" i="5" s="1"/>
  <c r="AP23" i="5"/>
  <c r="AR23" i="5" s="1"/>
  <c r="AP462" i="5"/>
  <c r="AQ462" i="5" s="1"/>
  <c r="AP483" i="5"/>
  <c r="AQ483" i="5" s="1"/>
  <c r="AP244" i="5"/>
  <c r="AQ244" i="5" s="1"/>
  <c r="AP66" i="5"/>
  <c r="AR66" i="5" s="1"/>
  <c r="AP350" i="5"/>
  <c r="AR350" i="5" s="1"/>
  <c r="AP21" i="5"/>
  <c r="AR21" i="5" s="1"/>
  <c r="AP118" i="5"/>
  <c r="AR118" i="5" s="1"/>
  <c r="AP219" i="5"/>
  <c r="AR219" i="5" s="1"/>
  <c r="AP345" i="5"/>
  <c r="AR345" i="5" s="1"/>
  <c r="AP498" i="5"/>
  <c r="AQ498" i="5" s="1"/>
  <c r="AP496" i="5"/>
  <c r="AQ496" i="5" s="1"/>
  <c r="AP392" i="5"/>
  <c r="AR392" i="5" s="1"/>
  <c r="AP428" i="5"/>
  <c r="AR428" i="5" s="1"/>
  <c r="AP194" i="5"/>
  <c r="AQ194" i="5" s="1"/>
  <c r="AP524" i="5"/>
  <c r="AQ524" i="5" s="1"/>
  <c r="AP142" i="5"/>
  <c r="AR142" i="5" s="1"/>
  <c r="AP544" i="5"/>
  <c r="AR544" i="5" s="1"/>
  <c r="AP93" i="5"/>
  <c r="AR93" i="5" s="1"/>
  <c r="AP372" i="5"/>
  <c r="AR372" i="5" s="1"/>
  <c r="AP436" i="5"/>
  <c r="AQ436" i="5" s="1"/>
  <c r="AP158" i="5"/>
  <c r="AR158" i="5" s="1"/>
  <c r="AP45" i="5"/>
  <c r="AQ45" i="5" s="1"/>
  <c r="AP237" i="5"/>
  <c r="AQ237" i="5" s="1"/>
  <c r="AP34" i="5"/>
  <c r="AQ34" i="5" s="1"/>
  <c r="AP368" i="5"/>
  <c r="AQ368" i="5" s="1"/>
  <c r="AP330" i="5"/>
  <c r="AQ330" i="5" s="1"/>
  <c r="AP205" i="5"/>
  <c r="AQ205" i="5" s="1"/>
  <c r="AP522" i="5"/>
  <c r="AQ522" i="5" s="1"/>
  <c r="AP302" i="5"/>
  <c r="AR302" i="5" s="1"/>
  <c r="AP190" i="5"/>
  <c r="AR190" i="5" s="1"/>
  <c r="AP337" i="5"/>
  <c r="AQ337" i="5" s="1"/>
  <c r="AP22" i="5"/>
  <c r="AR22" i="5" s="1"/>
  <c r="AP257" i="5"/>
  <c r="AR257" i="5" s="1"/>
  <c r="AP558" i="5"/>
  <c r="AQ558" i="5" s="1"/>
  <c r="AP278" i="5"/>
  <c r="AQ278" i="5" s="1"/>
  <c r="AP438" i="5"/>
  <c r="AR438" i="5" s="1"/>
  <c r="AP477" i="5"/>
  <c r="AQ477" i="5" s="1"/>
  <c r="AP82" i="5"/>
  <c r="AQ82" i="5" s="1"/>
  <c r="AP20" i="5"/>
  <c r="AQ20" i="5" s="1"/>
  <c r="AP184" i="5"/>
  <c r="AR184" i="5" s="1"/>
  <c r="AP545" i="5"/>
  <c r="AR545" i="5" s="1"/>
  <c r="AP402" i="5"/>
  <c r="AR402" i="5" s="1"/>
  <c r="AP444" i="5"/>
  <c r="AR444" i="5" s="1"/>
  <c r="AP259" i="5"/>
  <c r="AR259" i="5" s="1"/>
  <c r="AP417" i="5"/>
  <c r="AQ417" i="5" s="1"/>
  <c r="AP460" i="5"/>
  <c r="AR460" i="5" s="1"/>
  <c r="AP144" i="5"/>
  <c r="AQ144" i="5" s="1"/>
  <c r="AP165" i="5"/>
  <c r="AQ165" i="5" s="1"/>
  <c r="AP542" i="5"/>
  <c r="AR542" i="5" s="1"/>
  <c r="AP262" i="5"/>
  <c r="AQ262" i="5" s="1"/>
  <c r="AP87" i="5"/>
  <c r="AR87" i="5" s="1"/>
  <c r="AP103" i="5"/>
  <c r="AQ103" i="5" s="1"/>
  <c r="AP211" i="5"/>
  <c r="AR211" i="5" s="1"/>
  <c r="AP378" i="5"/>
  <c r="AQ378" i="5" s="1"/>
  <c r="AP138" i="5"/>
  <c r="AQ138" i="5" s="1"/>
  <c r="AP493" i="5"/>
  <c r="AQ493" i="5" s="1"/>
  <c r="AP495" i="5"/>
  <c r="AQ495" i="5" s="1"/>
  <c r="AP104" i="5"/>
  <c r="AR104" i="5" s="1"/>
  <c r="AP384" i="5"/>
  <c r="AQ384" i="5" s="1"/>
  <c r="AP261" i="5"/>
  <c r="AQ261" i="5" s="1"/>
  <c r="AP70" i="5"/>
  <c r="AQ70" i="5" s="1"/>
  <c r="AP56" i="5"/>
  <c r="AQ56" i="5" s="1"/>
  <c r="AP397" i="5"/>
  <c r="AQ397" i="5" s="1"/>
  <c r="AP457" i="5"/>
  <c r="AR457" i="5" s="1"/>
  <c r="AP370" i="5"/>
  <c r="AR370" i="5" s="1"/>
  <c r="AP454" i="5"/>
  <c r="AR454" i="5" s="1"/>
  <c r="AP318" i="5"/>
  <c r="AR318" i="5" s="1"/>
  <c r="U312" i="5"/>
  <c r="V312" i="5"/>
  <c r="AN150" i="5"/>
  <c r="AO150" i="5"/>
  <c r="AO399" i="5"/>
  <c r="AN399" i="5"/>
  <c r="AO381" i="5"/>
  <c r="AN381" i="5"/>
  <c r="AO60" i="5"/>
  <c r="AN60" i="5"/>
  <c r="AO408" i="5"/>
  <c r="AN408" i="5"/>
  <c r="U427" i="5"/>
  <c r="V427" i="5"/>
  <c r="U409" i="5"/>
  <c r="V409" i="5"/>
  <c r="U271" i="5"/>
  <c r="V271" i="5"/>
  <c r="V557" i="5"/>
  <c r="U557" i="5"/>
  <c r="AN59" i="5"/>
  <c r="AO59" i="5"/>
  <c r="AP533" i="5"/>
  <c r="AQ533" i="5" s="1"/>
  <c r="AP404" i="5"/>
  <c r="AR404" i="5" s="1"/>
  <c r="AP488" i="5"/>
  <c r="AR488" i="5" s="1"/>
  <c r="AP291" i="5"/>
  <c r="AR291" i="5" s="1"/>
  <c r="AP260" i="5"/>
  <c r="AQ260" i="5" s="1"/>
  <c r="AP37" i="5"/>
  <c r="AR37" i="5" s="1"/>
  <c r="AP422" i="5"/>
  <c r="AQ422" i="5" s="1"/>
  <c r="AP226" i="5"/>
  <c r="AQ226" i="5" s="1"/>
  <c r="AP420" i="5"/>
  <c r="AR420" i="5" s="1"/>
  <c r="U384" i="5"/>
  <c r="V384" i="5"/>
  <c r="AN254" i="5"/>
  <c r="AO254" i="5"/>
  <c r="AO361" i="5"/>
  <c r="AN361" i="5"/>
  <c r="AO478" i="5"/>
  <c r="AN478" i="5"/>
  <c r="AN398" i="5"/>
  <c r="AO398" i="5"/>
  <c r="AN511" i="5"/>
  <c r="AO511" i="5"/>
  <c r="AO271" i="5"/>
  <c r="AN271" i="5"/>
  <c r="AN503" i="5"/>
  <c r="AO503" i="5"/>
  <c r="AN373" i="5"/>
  <c r="AO373" i="5"/>
  <c r="AO146" i="5"/>
  <c r="AN146" i="5"/>
  <c r="AO401" i="5"/>
  <c r="AN401" i="5"/>
  <c r="AN143" i="5"/>
  <c r="AO143" i="5"/>
  <c r="AN441" i="5"/>
  <c r="AO441" i="5"/>
  <c r="AN226" i="5"/>
  <c r="AO226" i="5"/>
  <c r="AO542" i="5"/>
  <c r="AN542" i="5"/>
  <c r="AN377" i="5"/>
  <c r="AO377" i="5"/>
  <c r="AO190" i="5"/>
  <c r="AN190" i="5"/>
  <c r="AO553" i="5"/>
  <c r="AN553" i="5"/>
  <c r="AN321" i="5"/>
  <c r="AO321" i="5"/>
  <c r="AN21" i="5"/>
  <c r="AO21" i="5"/>
  <c r="AN196" i="5"/>
  <c r="AO196" i="5"/>
  <c r="AN36" i="5"/>
  <c r="AO36" i="5"/>
  <c r="AN257" i="5"/>
  <c r="AO257" i="5"/>
  <c r="AN376" i="5"/>
  <c r="AO376" i="5"/>
  <c r="W93" i="4"/>
  <c r="U88" i="5"/>
  <c r="V88" i="5"/>
  <c r="AN248" i="5"/>
  <c r="AO248" i="5"/>
  <c r="AO57" i="5"/>
  <c r="AN57" i="5"/>
  <c r="U24" i="5"/>
  <c r="V24" i="5"/>
  <c r="AO280" i="5"/>
  <c r="AN280" i="5"/>
  <c r="U376" i="5"/>
  <c r="V376" i="5"/>
  <c r="V309" i="5"/>
  <c r="U309" i="5"/>
  <c r="V497" i="5"/>
  <c r="U497" i="5"/>
  <c r="U490" i="5"/>
  <c r="V490" i="5"/>
  <c r="V556" i="5"/>
  <c r="U556" i="5"/>
  <c r="V541" i="5"/>
  <c r="U541" i="5"/>
  <c r="U421" i="5"/>
  <c r="V421" i="5"/>
  <c r="V370" i="5"/>
  <c r="U370" i="5"/>
  <c r="U404" i="5"/>
  <c r="V404" i="5"/>
  <c r="V551" i="5"/>
  <c r="U551" i="5"/>
  <c r="V483" i="5"/>
  <c r="U483" i="5"/>
  <c r="U365" i="5"/>
  <c r="V365" i="5"/>
  <c r="V343" i="5"/>
  <c r="U343" i="5"/>
  <c r="U241" i="5"/>
  <c r="V241" i="5"/>
  <c r="U137" i="5"/>
  <c r="V137" i="5"/>
  <c r="V543" i="5"/>
  <c r="U543" i="5"/>
  <c r="V358" i="5"/>
  <c r="U358" i="5"/>
  <c r="V294" i="5"/>
  <c r="U294" i="5"/>
  <c r="U335" i="5"/>
  <c r="V335" i="5"/>
  <c r="U265" i="5"/>
  <c r="V265" i="5"/>
  <c r="U130" i="5"/>
  <c r="V130" i="5"/>
  <c r="U527" i="5"/>
  <c r="V527" i="5"/>
  <c r="U333" i="5"/>
  <c r="V333" i="5"/>
  <c r="V361" i="5"/>
  <c r="U361" i="5"/>
  <c r="U330" i="5"/>
  <c r="V330" i="5"/>
  <c r="V263" i="5"/>
  <c r="U263" i="5"/>
  <c r="U119" i="5"/>
  <c r="V119" i="5"/>
  <c r="V545" i="5"/>
  <c r="U545" i="5"/>
  <c r="U501" i="5"/>
  <c r="V501" i="5"/>
  <c r="V355" i="5"/>
  <c r="U355" i="5"/>
  <c r="U326" i="5"/>
  <c r="V326" i="5"/>
  <c r="U260" i="5"/>
  <c r="V260" i="5"/>
  <c r="U115" i="5"/>
  <c r="V115" i="5"/>
  <c r="U505" i="5"/>
  <c r="V505" i="5"/>
  <c r="U369" i="5"/>
  <c r="V369" i="5"/>
  <c r="U258" i="5"/>
  <c r="V258" i="5"/>
  <c r="U206" i="5"/>
  <c r="V206" i="5"/>
  <c r="U36" i="5"/>
  <c r="V36" i="5"/>
  <c r="U463" i="5"/>
  <c r="V463" i="5"/>
  <c r="V499" i="5"/>
  <c r="U499" i="5"/>
  <c r="U341" i="5"/>
  <c r="V341" i="5"/>
  <c r="V299" i="5"/>
  <c r="U299" i="5"/>
  <c r="V215" i="5"/>
  <c r="U215" i="5"/>
  <c r="V63" i="5"/>
  <c r="U63" i="5"/>
  <c r="U517" i="5"/>
  <c r="V517" i="5"/>
  <c r="U385" i="5"/>
  <c r="V385" i="5"/>
  <c r="V292" i="5"/>
  <c r="U292" i="5"/>
  <c r="U211" i="5"/>
  <c r="V211" i="5"/>
  <c r="V39" i="5"/>
  <c r="U39" i="5"/>
  <c r="U94" i="5"/>
  <c r="V94" i="5"/>
  <c r="U66" i="5"/>
  <c r="V66" i="5"/>
  <c r="U70" i="5"/>
  <c r="V70" i="5"/>
  <c r="U448" i="5"/>
  <c r="V448" i="5"/>
  <c r="AP218" i="5"/>
  <c r="AR218" i="5" s="1"/>
  <c r="AO507" i="5"/>
  <c r="AN507" i="5"/>
  <c r="AO316" i="5"/>
  <c r="AN316" i="5"/>
  <c r="V456" i="5"/>
  <c r="U456" i="5"/>
  <c r="U248" i="5"/>
  <c r="V248" i="5"/>
  <c r="V297" i="5"/>
  <c r="U297" i="5"/>
  <c r="V548" i="5"/>
  <c r="U548" i="5"/>
  <c r="U396" i="5"/>
  <c r="V396" i="5"/>
  <c r="U430" i="5"/>
  <c r="V430" i="5"/>
  <c r="AP535" i="5"/>
  <c r="AQ535" i="5" s="1"/>
  <c r="AP551" i="5"/>
  <c r="AQ551" i="5" s="1"/>
  <c r="AP327" i="5"/>
  <c r="AQ327" i="5" s="1"/>
  <c r="AP134" i="5"/>
  <c r="AR134" i="5" s="1"/>
  <c r="AP326" i="5"/>
  <c r="AR326" i="5" s="1"/>
  <c r="AP463" i="5"/>
  <c r="AQ463" i="5" s="1"/>
  <c r="AP77" i="5"/>
  <c r="AR77" i="5" s="1"/>
  <c r="AP126" i="5"/>
  <c r="AQ126" i="5" s="1"/>
  <c r="AP117" i="5"/>
  <c r="AQ117" i="5" s="1"/>
  <c r="AP530" i="5"/>
  <c r="AR530" i="5" s="1"/>
  <c r="AP321" i="5"/>
  <c r="AQ321" i="5" s="1"/>
  <c r="AN368" i="5"/>
  <c r="AO368" i="5"/>
  <c r="AO279" i="5"/>
  <c r="AN279" i="5"/>
  <c r="AN182" i="5"/>
  <c r="AO182" i="5"/>
  <c r="AO393" i="5"/>
  <c r="AN393" i="5"/>
  <c r="AO275" i="5"/>
  <c r="AN275" i="5"/>
  <c r="AN403" i="5"/>
  <c r="AO403" i="5"/>
  <c r="AN183" i="5"/>
  <c r="AO183" i="5"/>
  <c r="AO453" i="5"/>
  <c r="AN453" i="5"/>
  <c r="AN330" i="5"/>
  <c r="AO330" i="5"/>
  <c r="AO54" i="5"/>
  <c r="AN54" i="5"/>
  <c r="AO342" i="5"/>
  <c r="AN342" i="5"/>
  <c r="AN138" i="5"/>
  <c r="AO138" i="5"/>
  <c r="AN470" i="5"/>
  <c r="AO470" i="5"/>
  <c r="AN213" i="5"/>
  <c r="AO213" i="5"/>
  <c r="AO558" i="5"/>
  <c r="AN558" i="5"/>
  <c r="AN428" i="5"/>
  <c r="AO428" i="5"/>
  <c r="AN180" i="5"/>
  <c r="AO180" i="5"/>
  <c r="AN545" i="5"/>
  <c r="AO545" i="5"/>
  <c r="AO303" i="5"/>
  <c r="AN303" i="5"/>
  <c r="AO22" i="5"/>
  <c r="AN22" i="5"/>
  <c r="AN201" i="5"/>
  <c r="AO201" i="5"/>
  <c r="AM69" i="4"/>
  <c r="AN69" i="4" s="1"/>
  <c r="W69" i="4"/>
  <c r="U504" i="5"/>
  <c r="V504" i="5"/>
  <c r="AN337" i="5"/>
  <c r="AO337" i="5"/>
  <c r="V336" i="5"/>
  <c r="U336" i="5"/>
  <c r="AM71" i="4"/>
  <c r="AN71" i="4" s="1"/>
  <c r="W71" i="4"/>
  <c r="Y71" i="4" s="1"/>
  <c r="Z71" i="4" s="1"/>
  <c r="AF71" i="4" s="1"/>
  <c r="AN344" i="5"/>
  <c r="AO344" i="5"/>
  <c r="AO308" i="5"/>
  <c r="AN308" i="5"/>
  <c r="AN120" i="5"/>
  <c r="AO120" i="5"/>
  <c r="V224" i="5"/>
  <c r="U224" i="5"/>
  <c r="AO177" i="5"/>
  <c r="AN177" i="5"/>
  <c r="U264" i="5"/>
  <c r="V264" i="5"/>
  <c r="V480" i="5"/>
  <c r="U480" i="5"/>
  <c r="U314" i="5"/>
  <c r="V314" i="5"/>
  <c r="V444" i="5"/>
  <c r="U444" i="5"/>
  <c r="U422" i="5"/>
  <c r="V422" i="5"/>
  <c r="U395" i="5"/>
  <c r="V395" i="5"/>
  <c r="V491" i="5"/>
  <c r="U491" i="5"/>
  <c r="U325" i="5"/>
  <c r="V325" i="5"/>
  <c r="V390" i="5"/>
  <c r="U390" i="5"/>
  <c r="U359" i="5"/>
  <c r="V359" i="5"/>
  <c r="U450" i="5"/>
  <c r="V450" i="5"/>
  <c r="U459" i="5"/>
  <c r="V459" i="5"/>
  <c r="U319" i="5"/>
  <c r="V319" i="5"/>
  <c r="V305" i="5"/>
  <c r="U305" i="5"/>
  <c r="U210" i="5"/>
  <c r="V210" i="5"/>
  <c r="U126" i="5"/>
  <c r="V126" i="5"/>
  <c r="V426" i="5"/>
  <c r="U426" i="5"/>
  <c r="U347" i="5"/>
  <c r="V347" i="5"/>
  <c r="V407" i="5"/>
  <c r="U407" i="5"/>
  <c r="V303" i="5"/>
  <c r="U303" i="5"/>
  <c r="U207" i="5"/>
  <c r="V207" i="5"/>
  <c r="U131" i="5"/>
  <c r="V131" i="5"/>
  <c r="U412" i="5"/>
  <c r="V412" i="5"/>
  <c r="U503" i="5"/>
  <c r="V503" i="5"/>
  <c r="U275" i="5"/>
  <c r="V275" i="5"/>
  <c r="V300" i="5"/>
  <c r="U300" i="5"/>
  <c r="V236" i="5"/>
  <c r="U236" i="5"/>
  <c r="U123" i="5"/>
  <c r="V123" i="5"/>
  <c r="U465" i="5"/>
  <c r="V465" i="5"/>
  <c r="U474" i="5"/>
  <c r="V474" i="5"/>
  <c r="U391" i="5"/>
  <c r="V391" i="5"/>
  <c r="V298" i="5"/>
  <c r="U298" i="5"/>
  <c r="U235" i="5"/>
  <c r="V235" i="5"/>
  <c r="U101" i="5"/>
  <c r="V101" i="5"/>
  <c r="U460" i="5"/>
  <c r="V460" i="5"/>
  <c r="V433" i="5"/>
  <c r="U433" i="5"/>
  <c r="V327" i="5"/>
  <c r="U327" i="5"/>
  <c r="U172" i="5"/>
  <c r="V172" i="5"/>
  <c r="U479" i="5"/>
  <c r="V479" i="5"/>
  <c r="U434" i="5"/>
  <c r="V434" i="5"/>
  <c r="U458" i="5"/>
  <c r="V458" i="5"/>
  <c r="V429" i="5"/>
  <c r="U429" i="5"/>
  <c r="V251" i="5"/>
  <c r="U251" i="5"/>
  <c r="V204" i="5"/>
  <c r="U204" i="5"/>
  <c r="U22" i="5"/>
  <c r="V22" i="5"/>
  <c r="U431" i="5"/>
  <c r="V431" i="5"/>
  <c r="V317" i="5"/>
  <c r="U317" i="5"/>
  <c r="U250" i="5"/>
  <c r="V250" i="5"/>
  <c r="V201" i="5"/>
  <c r="U201" i="5"/>
  <c r="V139" i="5"/>
  <c r="U139" i="5"/>
  <c r="V41" i="5"/>
  <c r="U41" i="5"/>
  <c r="V33" i="5"/>
  <c r="U33" i="5"/>
  <c r="U34" i="5"/>
  <c r="V34" i="5"/>
  <c r="V296" i="5"/>
  <c r="U296" i="5"/>
  <c r="U432" i="5"/>
  <c r="V432" i="5"/>
  <c r="AO78" i="5"/>
  <c r="AN78" i="5"/>
  <c r="AO181" i="5"/>
  <c r="AN181" i="5"/>
  <c r="AO134" i="5"/>
  <c r="AN134" i="5"/>
  <c r="AO166" i="5"/>
  <c r="AN166" i="5"/>
  <c r="U440" i="5"/>
  <c r="V440" i="5"/>
  <c r="V476" i="5"/>
  <c r="U476" i="5"/>
  <c r="V291" i="5"/>
  <c r="U291" i="5"/>
  <c r="U281" i="5"/>
  <c r="V281" i="5"/>
  <c r="V229" i="5"/>
  <c r="U229" i="5"/>
  <c r="U269" i="5"/>
  <c r="V269" i="5"/>
  <c r="U268" i="5"/>
  <c r="V268" i="5"/>
  <c r="U133" i="5"/>
  <c r="V133" i="5"/>
  <c r="U346" i="5"/>
  <c r="V346" i="5"/>
  <c r="U154" i="5"/>
  <c r="V154" i="5"/>
  <c r="V38" i="5"/>
  <c r="U38" i="5"/>
  <c r="AM64" i="4"/>
  <c r="AN64" i="4" s="1"/>
  <c r="W64" i="4"/>
  <c r="X64" i="4" s="1"/>
  <c r="AJ64" i="4" s="1"/>
  <c r="AP78" i="5"/>
  <c r="AR78" i="5" s="1"/>
  <c r="AP448" i="5"/>
  <c r="AQ448" i="5" s="1"/>
  <c r="AP487" i="5"/>
  <c r="AR487" i="5" s="1"/>
  <c r="U8" i="5"/>
  <c r="V8" i="5"/>
  <c r="AN288" i="5"/>
  <c r="AO288" i="5"/>
  <c r="AN378" i="5"/>
  <c r="AO378" i="5"/>
  <c r="AO516" i="5"/>
  <c r="AN516" i="5"/>
  <c r="AO529" i="5"/>
  <c r="AN529" i="5"/>
  <c r="AN522" i="5"/>
  <c r="AO522" i="5"/>
  <c r="AN19" i="5"/>
  <c r="AO19" i="5"/>
  <c r="AO366" i="5"/>
  <c r="AN366" i="5"/>
  <c r="AN154" i="5"/>
  <c r="AO154" i="5"/>
  <c r="AO391" i="5"/>
  <c r="AN391" i="5"/>
  <c r="AO269" i="5"/>
  <c r="AN269" i="5"/>
  <c r="AN524" i="5"/>
  <c r="AO524" i="5"/>
  <c r="AO250" i="5"/>
  <c r="AN250" i="5"/>
  <c r="AN55" i="5"/>
  <c r="AO55" i="5"/>
  <c r="AN386" i="5"/>
  <c r="AO386" i="5"/>
  <c r="AO126" i="5"/>
  <c r="AN126" i="5"/>
  <c r="AO489" i="5"/>
  <c r="AN489" i="5"/>
  <c r="AN310" i="5"/>
  <c r="AO310" i="5"/>
  <c r="AO86" i="5"/>
  <c r="AN86" i="5"/>
  <c r="AO461" i="5"/>
  <c r="AN461" i="5"/>
  <c r="AN214" i="5"/>
  <c r="AO214" i="5"/>
  <c r="AO357" i="5"/>
  <c r="AN357" i="5"/>
  <c r="AN124" i="5"/>
  <c r="AO124" i="5"/>
  <c r="V80" i="5"/>
  <c r="U80" i="5"/>
  <c r="V288" i="5"/>
  <c r="U288" i="5"/>
  <c r="AM19" i="4"/>
  <c r="AN19" i="4" s="1"/>
  <c r="W19" i="4"/>
  <c r="Y19" i="4" s="1"/>
  <c r="Z19" i="4" s="1"/>
  <c r="AF19" i="4" s="1"/>
  <c r="AN148" i="5"/>
  <c r="AO148" i="5"/>
  <c r="U56" i="5"/>
  <c r="V56" i="5"/>
  <c r="AN424" i="5"/>
  <c r="AO424" i="5"/>
  <c r="U496" i="5"/>
  <c r="V496" i="5"/>
  <c r="V344" i="5"/>
  <c r="U344" i="5"/>
  <c r="AO448" i="5"/>
  <c r="AN448" i="5"/>
  <c r="U100" i="5"/>
  <c r="V100" i="5"/>
  <c r="U462" i="5"/>
  <c r="V462" i="5"/>
  <c r="V418" i="5"/>
  <c r="U418" i="5"/>
  <c r="V380" i="5"/>
  <c r="U380" i="5"/>
  <c r="U242" i="5"/>
  <c r="V242" i="5"/>
  <c r="V69" i="5"/>
  <c r="U69" i="5"/>
  <c r="V67" i="5"/>
  <c r="U67" i="5"/>
  <c r="U194" i="5"/>
  <c r="V194" i="5"/>
  <c r="V338" i="5"/>
  <c r="U338" i="5"/>
  <c r="U515" i="5"/>
  <c r="V515" i="5"/>
  <c r="U247" i="5"/>
  <c r="V247" i="5"/>
  <c r="U253" i="5"/>
  <c r="V253" i="5"/>
  <c r="U205" i="5"/>
  <c r="V205" i="5"/>
  <c r="U50" i="5"/>
  <c r="V50" i="5"/>
  <c r="U529" i="5"/>
  <c r="V529" i="5"/>
  <c r="U478" i="5"/>
  <c r="V478" i="5"/>
  <c r="V214" i="5"/>
  <c r="U214" i="5"/>
  <c r="U246" i="5"/>
  <c r="V246" i="5"/>
  <c r="V239" i="5"/>
  <c r="U239" i="5"/>
  <c r="U92" i="5"/>
  <c r="V92" i="5"/>
  <c r="V560" i="5"/>
  <c r="U560" i="5"/>
  <c r="U454" i="5"/>
  <c r="V454" i="5"/>
  <c r="U372" i="5"/>
  <c r="V372" i="5"/>
  <c r="U231" i="5"/>
  <c r="V231" i="5"/>
  <c r="V227" i="5"/>
  <c r="U227" i="5"/>
  <c r="V61" i="5"/>
  <c r="U61" i="5"/>
  <c r="U493" i="5"/>
  <c r="V493" i="5"/>
  <c r="U537" i="5"/>
  <c r="V537" i="5"/>
  <c r="U436" i="5"/>
  <c r="V436" i="5"/>
  <c r="U226" i="5"/>
  <c r="V226" i="5"/>
  <c r="U212" i="5"/>
  <c r="V212" i="5"/>
  <c r="U53" i="5"/>
  <c r="V53" i="5"/>
  <c r="U414" i="5"/>
  <c r="V414" i="5"/>
  <c r="U366" i="5"/>
  <c r="V366" i="5"/>
  <c r="U254" i="5"/>
  <c r="V254" i="5"/>
  <c r="U134" i="5"/>
  <c r="V134" i="5"/>
  <c r="V555" i="5"/>
  <c r="U555" i="5"/>
  <c r="U519" i="5"/>
  <c r="V519" i="5"/>
  <c r="U411" i="5"/>
  <c r="V411" i="5"/>
  <c r="V315" i="5"/>
  <c r="U315" i="5"/>
  <c r="U279" i="5"/>
  <c r="V279" i="5"/>
  <c r="U118" i="5"/>
  <c r="V118" i="5"/>
  <c r="V531" i="5"/>
  <c r="U531" i="5"/>
  <c r="V494" i="5"/>
  <c r="U494" i="5"/>
  <c r="V362" i="5"/>
  <c r="U362" i="5"/>
  <c r="V274" i="5"/>
  <c r="U274" i="5"/>
  <c r="U187" i="5"/>
  <c r="V187" i="5"/>
  <c r="U98" i="5"/>
  <c r="V98" i="5"/>
  <c r="V47" i="5"/>
  <c r="U47" i="5"/>
  <c r="U84" i="5"/>
  <c r="V84" i="5"/>
  <c r="AO20" i="5"/>
  <c r="AN20" i="5"/>
  <c r="AN216" i="5"/>
  <c r="AO216" i="5"/>
  <c r="AN151" i="5"/>
  <c r="AO151" i="5"/>
  <c r="AO84" i="5"/>
  <c r="AN84" i="5"/>
  <c r="AN101" i="5"/>
  <c r="AO101" i="5"/>
  <c r="U512" i="5"/>
  <c r="V512" i="5"/>
  <c r="U435" i="5"/>
  <c r="V435" i="5"/>
  <c r="U244" i="5"/>
  <c r="V244" i="5"/>
  <c r="U82" i="5"/>
  <c r="V82" i="5"/>
  <c r="U484" i="5"/>
  <c r="V484" i="5"/>
  <c r="U453" i="5"/>
  <c r="V453" i="5"/>
  <c r="V57" i="5"/>
  <c r="U57" i="5"/>
  <c r="V549" i="5"/>
  <c r="U549" i="5"/>
  <c r="V428" i="5"/>
  <c r="U428" i="5"/>
  <c r="V322" i="5"/>
  <c r="U322" i="5"/>
  <c r="U393" i="5"/>
  <c r="V393" i="5"/>
  <c r="V27" i="5"/>
  <c r="U27" i="5"/>
  <c r="AP101" i="5"/>
  <c r="AR101" i="5" s="1"/>
  <c r="AP143" i="5"/>
  <c r="AR143" i="5" s="1"/>
  <c r="AP81" i="5"/>
  <c r="AQ81" i="5" s="1"/>
  <c r="U256" i="5"/>
  <c r="V256" i="5"/>
  <c r="V320" i="5"/>
  <c r="U320" i="5"/>
  <c r="AO290" i="5"/>
  <c r="AN290" i="5"/>
  <c r="AN245" i="5"/>
  <c r="AO245" i="5"/>
  <c r="AO429" i="5"/>
  <c r="AN429" i="5"/>
  <c r="AO471" i="5"/>
  <c r="AN471" i="5"/>
  <c r="AO407" i="5"/>
  <c r="AN407" i="5"/>
  <c r="AO417" i="5"/>
  <c r="AN417" i="5"/>
  <c r="AN90" i="5"/>
  <c r="AO90" i="5"/>
  <c r="AN452" i="5"/>
  <c r="AO452" i="5"/>
  <c r="AN266" i="5"/>
  <c r="AO266" i="5"/>
  <c r="AN425" i="5"/>
  <c r="AO425" i="5"/>
  <c r="AO329" i="5"/>
  <c r="AN329" i="5"/>
  <c r="AO44" i="5"/>
  <c r="AN44" i="5"/>
  <c r="AO319" i="5"/>
  <c r="AN319" i="5"/>
  <c r="AO94" i="5"/>
  <c r="AN94" i="5"/>
  <c r="AO405" i="5"/>
  <c r="AN405" i="5"/>
  <c r="AN188" i="5"/>
  <c r="AO188" i="5"/>
  <c r="AO76" i="5"/>
  <c r="AN76" i="5"/>
  <c r="AN375" i="5"/>
  <c r="AO375" i="5"/>
  <c r="AN165" i="5"/>
  <c r="AO165" i="5"/>
  <c r="AO295" i="5"/>
  <c r="AN295" i="5"/>
  <c r="AN100" i="5"/>
  <c r="AO100" i="5"/>
  <c r="V368" i="5"/>
  <c r="U368" i="5"/>
  <c r="AN236" i="5"/>
  <c r="AO236" i="5"/>
  <c r="AO208" i="5"/>
  <c r="AN208" i="5"/>
  <c r="U400" i="5"/>
  <c r="V400" i="5"/>
  <c r="V112" i="5"/>
  <c r="U112" i="5"/>
  <c r="AO144" i="5"/>
  <c r="AN144" i="5"/>
  <c r="U526" i="5"/>
  <c r="V526" i="5"/>
  <c r="AO480" i="5"/>
  <c r="AN480" i="5"/>
  <c r="AO300" i="5"/>
  <c r="AN300" i="5"/>
  <c r="V328" i="5"/>
  <c r="U328" i="5"/>
  <c r="AO35" i="5"/>
  <c r="AN35" i="5"/>
  <c r="U518" i="5"/>
  <c r="V518" i="5"/>
  <c r="U349" i="5"/>
  <c r="V349" i="5"/>
  <c r="U307" i="5"/>
  <c r="V307" i="5"/>
  <c r="V285" i="5"/>
  <c r="U285" i="5"/>
  <c r="U141" i="5"/>
  <c r="V141" i="5"/>
  <c r="U19" i="5"/>
  <c r="V19" i="5"/>
  <c r="U552" i="5"/>
  <c r="V552" i="5"/>
  <c r="V44" i="5"/>
  <c r="U44" i="5"/>
  <c r="U510" i="5"/>
  <c r="V510" i="5"/>
  <c r="V481" i="5"/>
  <c r="U481" i="5"/>
  <c r="U420" i="5"/>
  <c r="V420" i="5"/>
  <c r="U323" i="5"/>
  <c r="V323" i="5"/>
  <c r="U190" i="5"/>
  <c r="V190" i="5"/>
  <c r="U28" i="5"/>
  <c r="V28" i="5"/>
  <c r="V506" i="5"/>
  <c r="U506" i="5"/>
  <c r="U443" i="5"/>
  <c r="V443" i="5"/>
  <c r="V415" i="5"/>
  <c r="U415" i="5"/>
  <c r="V316" i="5"/>
  <c r="U316" i="5"/>
  <c r="U203" i="5"/>
  <c r="V203" i="5"/>
  <c r="U30" i="5"/>
  <c r="V30" i="5"/>
  <c r="U495" i="5"/>
  <c r="V495" i="5"/>
  <c r="V339" i="5"/>
  <c r="U339" i="5"/>
  <c r="U437" i="5"/>
  <c r="V437" i="5"/>
  <c r="V313" i="5"/>
  <c r="U313" i="5"/>
  <c r="U196" i="5"/>
  <c r="V196" i="5"/>
  <c r="U502" i="5"/>
  <c r="V502" i="5"/>
  <c r="U470" i="5"/>
  <c r="V470" i="5"/>
  <c r="V507" i="5"/>
  <c r="U507" i="5"/>
  <c r="U405" i="5"/>
  <c r="V405" i="5"/>
  <c r="V311" i="5"/>
  <c r="U311" i="5"/>
  <c r="V188" i="5"/>
  <c r="U188" i="5"/>
  <c r="Q10" i="5"/>
  <c r="AG10" i="5"/>
  <c r="T10" i="5"/>
  <c r="AM10" i="5"/>
  <c r="W10" i="5"/>
  <c r="V383" i="5"/>
  <c r="U383" i="5"/>
  <c r="V329" i="5"/>
  <c r="U329" i="5"/>
  <c r="U233" i="5"/>
  <c r="V233" i="5"/>
  <c r="U114" i="5"/>
  <c r="V114" i="5"/>
  <c r="U514" i="5"/>
  <c r="V514" i="5"/>
  <c r="U498" i="5"/>
  <c r="V498" i="5"/>
  <c r="U382" i="5"/>
  <c r="V382" i="5"/>
  <c r="U356" i="5"/>
  <c r="V356" i="5"/>
  <c r="U252" i="5"/>
  <c r="V252" i="5"/>
  <c r="U125" i="5"/>
  <c r="V125" i="5"/>
  <c r="V487" i="5"/>
  <c r="U487" i="5"/>
  <c r="V451" i="5"/>
  <c r="U451" i="5"/>
  <c r="U354" i="5"/>
  <c r="V354" i="5"/>
  <c r="U249" i="5"/>
  <c r="V249" i="5"/>
  <c r="V151" i="5"/>
  <c r="U151" i="5"/>
  <c r="U74" i="5"/>
  <c r="V74" i="5"/>
  <c r="V26" i="5"/>
  <c r="U26" i="5"/>
  <c r="U87" i="5"/>
  <c r="V87" i="5"/>
  <c r="AN292" i="5"/>
  <c r="AO292" i="5"/>
  <c r="V546" i="5"/>
  <c r="U546" i="5"/>
  <c r="AO456" i="5"/>
  <c r="AN456" i="5"/>
  <c r="AO255" i="5"/>
  <c r="AN255" i="5"/>
  <c r="AO229" i="5"/>
  <c r="AN229" i="5"/>
  <c r="U472" i="5"/>
  <c r="V472" i="5"/>
  <c r="U464" i="5"/>
  <c r="V464" i="5"/>
  <c r="U550" i="5"/>
  <c r="V550" i="5"/>
  <c r="U375" i="5"/>
  <c r="V375" i="5"/>
  <c r="U37" i="5"/>
  <c r="V37" i="5"/>
  <c r="U403" i="5"/>
  <c r="V403" i="5"/>
  <c r="U377" i="5"/>
  <c r="V377" i="5"/>
  <c r="V161" i="5"/>
  <c r="U161" i="5"/>
  <c r="U91" i="5"/>
  <c r="V91" i="5"/>
  <c r="U280" i="5"/>
  <c r="V280" i="5"/>
  <c r="AP229" i="5"/>
  <c r="AR229" i="5" s="1"/>
  <c r="AP131" i="5"/>
  <c r="AQ131" i="5" s="1"/>
  <c r="AP94" i="5"/>
  <c r="AQ94" i="5" s="1"/>
  <c r="AP274" i="5"/>
  <c r="AQ274" i="5" s="1"/>
  <c r="AP79" i="5"/>
  <c r="AR79" i="5" s="1"/>
  <c r="AP127" i="5"/>
  <c r="AR127" i="5" s="1"/>
  <c r="AM68" i="4"/>
  <c r="AN68" i="4" s="1"/>
  <c r="W68" i="4"/>
  <c r="AO95" i="5"/>
  <c r="AN95" i="5"/>
  <c r="AN202" i="5"/>
  <c r="AO202" i="5"/>
  <c r="AO350" i="5"/>
  <c r="AN350" i="5"/>
  <c r="AN351" i="5"/>
  <c r="AO351" i="5"/>
  <c r="AO517" i="5"/>
  <c r="AN517" i="5"/>
  <c r="AN345" i="5"/>
  <c r="AO345" i="5"/>
  <c r="AO483" i="5"/>
  <c r="AN483" i="5"/>
  <c r="AN364" i="5"/>
  <c r="AO364" i="5"/>
  <c r="AN244" i="5"/>
  <c r="AO244" i="5"/>
  <c r="AN502" i="5"/>
  <c r="AO502" i="5"/>
  <c r="AO247" i="5"/>
  <c r="AN247" i="5"/>
  <c r="AN559" i="5"/>
  <c r="AO559" i="5"/>
  <c r="AN315" i="5"/>
  <c r="AO315" i="5"/>
  <c r="AN77" i="5"/>
  <c r="AO77" i="5"/>
  <c r="AN468" i="5"/>
  <c r="AO468" i="5"/>
  <c r="AN323" i="5"/>
  <c r="AO323" i="5"/>
  <c r="AN52" i="5"/>
  <c r="AO52" i="5"/>
  <c r="AO414" i="5"/>
  <c r="AN414" i="5"/>
  <c r="AN170" i="5"/>
  <c r="AO170" i="5"/>
  <c r="AN317" i="5"/>
  <c r="AO317" i="5"/>
  <c r="AO74" i="5"/>
  <c r="AN74" i="5"/>
  <c r="U352" i="5"/>
  <c r="V352" i="5"/>
  <c r="AN440" i="5"/>
  <c r="AO440" i="5"/>
  <c r="AN203" i="5"/>
  <c r="AO203" i="5"/>
  <c r="U272" i="5"/>
  <c r="V272" i="5"/>
  <c r="U424" i="5"/>
  <c r="V424" i="5"/>
  <c r="AM77" i="4"/>
  <c r="W77" i="4"/>
  <c r="X77" i="4" s="1"/>
  <c r="AM150" i="4"/>
  <c r="AN150" i="4" s="1"/>
  <c r="W150" i="4"/>
  <c r="X150" i="4" s="1"/>
  <c r="AJ150" i="4" s="1"/>
  <c r="V304" i="5"/>
  <c r="U304" i="5"/>
  <c r="V208" i="5"/>
  <c r="U208" i="5"/>
  <c r="AN464" i="5"/>
  <c r="AO464" i="5"/>
  <c r="W23" i="4"/>
  <c r="AO107" i="5"/>
  <c r="AN107" i="5"/>
  <c r="V160" i="5"/>
  <c r="U160" i="5"/>
  <c r="AO99" i="5"/>
  <c r="AN99" i="5"/>
  <c r="U536" i="5"/>
  <c r="V536" i="5"/>
  <c r="V273" i="5"/>
  <c r="U273" i="5"/>
  <c r="U146" i="5"/>
  <c r="V146" i="5"/>
  <c r="U221" i="5"/>
  <c r="V221" i="5"/>
  <c r="U419" i="5"/>
  <c r="V419" i="5"/>
  <c r="V553" i="5"/>
  <c r="U553" i="5"/>
  <c r="V539" i="5"/>
  <c r="U539" i="5"/>
  <c r="V523" i="5"/>
  <c r="U523" i="5"/>
  <c r="V482" i="5"/>
  <c r="U482" i="5"/>
  <c r="U447" i="5"/>
  <c r="V447" i="5"/>
  <c r="U387" i="5"/>
  <c r="V387" i="5"/>
  <c r="V237" i="5"/>
  <c r="U237" i="5"/>
  <c r="U79" i="5"/>
  <c r="V79" i="5"/>
  <c r="V520" i="5"/>
  <c r="U520" i="5"/>
  <c r="U477" i="5"/>
  <c r="V477" i="5"/>
  <c r="U324" i="5"/>
  <c r="V324" i="5"/>
  <c r="V381" i="5"/>
  <c r="U381" i="5"/>
  <c r="V284" i="5"/>
  <c r="U284" i="5"/>
  <c r="V186" i="5"/>
  <c r="U186" i="5"/>
  <c r="U509" i="5"/>
  <c r="V509" i="5"/>
  <c r="U473" i="5"/>
  <c r="V473" i="5"/>
  <c r="U508" i="5"/>
  <c r="V508" i="5"/>
  <c r="V410" i="5"/>
  <c r="U410" i="5"/>
  <c r="U276" i="5"/>
  <c r="V276" i="5"/>
  <c r="V185" i="5"/>
  <c r="U185" i="5"/>
  <c r="U559" i="5"/>
  <c r="V559" i="5"/>
  <c r="U439" i="5"/>
  <c r="V439" i="5"/>
  <c r="U466" i="5"/>
  <c r="V466" i="5"/>
  <c r="V367" i="5"/>
  <c r="U367" i="5"/>
  <c r="U266" i="5"/>
  <c r="V266" i="5"/>
  <c r="V183" i="5"/>
  <c r="U183" i="5"/>
  <c r="U471" i="5"/>
  <c r="V471" i="5"/>
  <c r="V353" i="5"/>
  <c r="U353" i="5"/>
  <c r="V262" i="5"/>
  <c r="U262" i="5"/>
  <c r="U180" i="5"/>
  <c r="V180" i="5"/>
  <c r="U109" i="5"/>
  <c r="V109" i="5"/>
  <c r="V544" i="5"/>
  <c r="U544" i="5"/>
  <c r="V468" i="5"/>
  <c r="U468" i="5"/>
  <c r="V348" i="5"/>
  <c r="U348" i="5"/>
  <c r="U293" i="5"/>
  <c r="V293" i="5"/>
  <c r="V230" i="5"/>
  <c r="U230" i="5"/>
  <c r="V156" i="5"/>
  <c r="U156" i="5"/>
  <c r="U461" i="5"/>
  <c r="V461" i="5"/>
  <c r="V379" i="5"/>
  <c r="U379" i="5"/>
  <c r="V310" i="5"/>
  <c r="U310" i="5"/>
  <c r="U225" i="5"/>
  <c r="V225" i="5"/>
  <c r="U155" i="5"/>
  <c r="V155" i="5"/>
  <c r="V59" i="5"/>
  <c r="U59" i="5"/>
  <c r="U121" i="5"/>
  <c r="V121" i="5"/>
  <c r="V105" i="5"/>
  <c r="U105" i="5"/>
  <c r="AO91" i="5"/>
  <c r="AN91" i="5"/>
  <c r="V554" i="5"/>
  <c r="U554" i="5"/>
  <c r="AN34" i="5"/>
  <c r="AO34" i="5"/>
  <c r="AO46" i="5"/>
  <c r="AN46" i="5"/>
  <c r="AN411" i="5"/>
  <c r="AO411" i="5"/>
  <c r="AO535" i="5"/>
  <c r="AN535" i="5"/>
  <c r="U150" i="5"/>
  <c r="V150" i="5"/>
  <c r="U245" i="5"/>
  <c r="V245" i="5"/>
  <c r="V93" i="5"/>
  <c r="U93" i="5"/>
  <c r="U222" i="5"/>
  <c r="V222" i="5"/>
  <c r="U191" i="5"/>
  <c r="V191" i="5"/>
  <c r="V282" i="5"/>
  <c r="U282" i="5"/>
  <c r="V364" i="5"/>
  <c r="U364" i="5"/>
  <c r="U525" i="5"/>
  <c r="V525" i="5"/>
  <c r="V318" i="5"/>
  <c r="U318" i="5"/>
  <c r="U43" i="5"/>
  <c r="V43" i="5"/>
  <c r="AP232" i="5"/>
  <c r="AQ232" i="5" s="1"/>
  <c r="AP381" i="5"/>
  <c r="AQ381" i="5" s="1"/>
  <c r="AP255" i="5"/>
  <c r="AQ255" i="5" s="1"/>
  <c r="AP531" i="5"/>
  <c r="AQ531" i="5" s="1"/>
  <c r="AP210" i="5"/>
  <c r="AQ210" i="5" s="1"/>
  <c r="AP360" i="5"/>
  <c r="AR360" i="5" s="1"/>
  <c r="AP216" i="5"/>
  <c r="AQ216" i="5" s="1"/>
  <c r="AP30" i="5"/>
  <c r="AR30" i="5" s="1"/>
  <c r="AP140" i="5"/>
  <c r="AR140" i="5" s="1"/>
  <c r="AO501" i="5"/>
  <c r="AN501" i="5"/>
  <c r="AN548" i="5"/>
  <c r="AO548" i="5"/>
  <c r="AO187" i="5"/>
  <c r="AN187" i="5"/>
  <c r="AN119" i="5"/>
  <c r="AO119" i="5"/>
  <c r="AN509" i="5"/>
  <c r="AO509" i="5"/>
  <c r="AN339" i="5"/>
  <c r="AO339" i="5"/>
  <c r="AO544" i="5"/>
  <c r="AN544" i="5"/>
  <c r="AO402" i="5"/>
  <c r="AN402" i="5"/>
  <c r="AO230" i="5"/>
  <c r="AN230" i="5"/>
  <c r="AN443" i="5"/>
  <c r="AO443" i="5"/>
  <c r="AN246" i="5"/>
  <c r="AO246" i="5"/>
  <c r="AN297" i="5"/>
  <c r="AO297" i="5"/>
  <c r="AO241" i="5"/>
  <c r="AN241" i="5"/>
  <c r="AN63" i="5"/>
  <c r="AO63" i="5"/>
  <c r="AN515" i="5"/>
  <c r="AO515" i="5"/>
  <c r="AN191" i="5"/>
  <c r="AO191" i="5"/>
  <c r="AN37" i="5"/>
  <c r="AO37" i="5"/>
  <c r="AO218" i="5"/>
  <c r="AN218" i="5"/>
  <c r="AN117" i="5"/>
  <c r="AO117" i="5"/>
  <c r="AO291" i="5"/>
  <c r="AN291" i="5"/>
  <c r="AO75" i="5"/>
  <c r="AN75" i="5"/>
  <c r="AM157" i="4"/>
  <c r="W157" i="4"/>
  <c r="X157" i="4" s="1"/>
  <c r="U192" i="5"/>
  <c r="V192" i="5"/>
  <c r="U232" i="5"/>
  <c r="V232" i="5"/>
  <c r="AN336" i="5"/>
  <c r="AO336" i="5"/>
  <c r="AN227" i="5"/>
  <c r="AO227" i="5"/>
  <c r="AN121" i="5"/>
  <c r="AO121" i="5"/>
  <c r="AN184" i="5"/>
  <c r="AO184" i="5"/>
  <c r="AN123" i="5"/>
  <c r="AO123" i="5"/>
  <c r="U485" i="5"/>
  <c r="V485" i="5"/>
  <c r="V457" i="5"/>
  <c r="U457" i="5"/>
  <c r="V181" i="5"/>
  <c r="U181" i="5"/>
  <c r="V547" i="5"/>
  <c r="U547" i="5"/>
  <c r="U142" i="5"/>
  <c r="V142" i="5"/>
  <c r="U492" i="5"/>
  <c r="V492" i="5"/>
  <c r="V542" i="5"/>
  <c r="U542" i="5"/>
  <c r="U467" i="5"/>
  <c r="V467" i="5"/>
  <c r="V445" i="5"/>
  <c r="U445" i="5"/>
  <c r="U455" i="5"/>
  <c r="V455" i="5"/>
  <c r="U357" i="5"/>
  <c r="V357" i="5"/>
  <c r="V350" i="5"/>
  <c r="U350" i="5"/>
  <c r="V306" i="5"/>
  <c r="U306" i="5"/>
  <c r="U177" i="5"/>
  <c r="V177" i="5"/>
  <c r="U423" i="5"/>
  <c r="V423" i="5"/>
  <c r="V452" i="5"/>
  <c r="U452" i="5"/>
  <c r="U399" i="5"/>
  <c r="V399" i="5"/>
  <c r="U345" i="5"/>
  <c r="V345" i="5"/>
  <c r="U135" i="5"/>
  <c r="V135" i="5"/>
  <c r="V170" i="5"/>
  <c r="U170" i="5"/>
  <c r="U397" i="5"/>
  <c r="V397" i="5"/>
  <c r="U446" i="5"/>
  <c r="V446" i="5"/>
  <c r="V441" i="5"/>
  <c r="U441" i="5"/>
  <c r="V378" i="5"/>
  <c r="U378" i="5"/>
  <c r="U334" i="5"/>
  <c r="V334" i="5"/>
  <c r="V169" i="5"/>
  <c r="U169" i="5"/>
  <c r="U524" i="5"/>
  <c r="V524" i="5"/>
  <c r="U398" i="5"/>
  <c r="V398" i="5"/>
  <c r="U417" i="5"/>
  <c r="V417" i="5"/>
  <c r="V337" i="5"/>
  <c r="U337" i="5"/>
  <c r="V332" i="5"/>
  <c r="U332" i="5"/>
  <c r="U140" i="5"/>
  <c r="V140" i="5"/>
  <c r="U442" i="5"/>
  <c r="V442" i="5"/>
  <c r="U228" i="5"/>
  <c r="V228" i="5"/>
  <c r="V321" i="5"/>
  <c r="U321" i="5"/>
  <c r="V199" i="5"/>
  <c r="U199" i="5"/>
  <c r="V85" i="5"/>
  <c r="U85" i="5"/>
  <c r="U540" i="5"/>
  <c r="V540" i="5"/>
  <c r="U438" i="5"/>
  <c r="V438" i="5"/>
  <c r="U195" i="5"/>
  <c r="V195" i="5"/>
  <c r="U261" i="5"/>
  <c r="V261" i="5"/>
  <c r="V174" i="5"/>
  <c r="U174" i="5"/>
  <c r="V106" i="5"/>
  <c r="U106" i="5"/>
  <c r="U425" i="5"/>
  <c r="V425" i="5"/>
  <c r="V340" i="5"/>
  <c r="U340" i="5"/>
  <c r="V290" i="5"/>
  <c r="U290" i="5"/>
  <c r="U243" i="5"/>
  <c r="V243" i="5"/>
  <c r="U95" i="5"/>
  <c r="V95" i="5"/>
  <c r="U52" i="5"/>
  <c r="V52" i="5"/>
  <c r="U83" i="5"/>
  <c r="V83" i="5"/>
  <c r="V89" i="5"/>
  <c r="U89" i="5"/>
  <c r="AO307" i="5"/>
  <c r="AN307" i="5"/>
  <c r="AO104" i="5"/>
  <c r="AN104" i="5"/>
  <c r="AO469" i="5"/>
  <c r="AN469" i="5"/>
  <c r="AN460" i="5"/>
  <c r="AO460" i="5"/>
  <c r="AO531" i="5"/>
  <c r="AN531" i="5"/>
  <c r="AO237" i="5"/>
  <c r="AN237" i="5"/>
  <c r="V538" i="5"/>
  <c r="U538" i="5"/>
  <c r="U516" i="5"/>
  <c r="V516" i="5"/>
  <c r="U351" i="5"/>
  <c r="V351" i="5"/>
  <c r="V513" i="5"/>
  <c r="U513" i="5"/>
  <c r="U475" i="5"/>
  <c r="V475" i="5"/>
  <c r="V371" i="5"/>
  <c r="U371" i="5"/>
  <c r="AP447" i="5"/>
  <c r="AQ447" i="5" s="1"/>
  <c r="AP181" i="5"/>
  <c r="AR181" i="5" s="1"/>
  <c r="AP517" i="5"/>
  <c r="AQ517" i="5" s="1"/>
  <c r="AP426" i="5"/>
  <c r="AQ426" i="5" s="1"/>
  <c r="AP312" i="5"/>
  <c r="AQ312" i="5" s="1"/>
  <c r="AP239" i="5"/>
  <c r="AR239" i="5" s="1"/>
  <c r="AP474" i="5"/>
  <c r="AQ474" i="5" s="1"/>
  <c r="AP296" i="5"/>
  <c r="AQ296" i="5" s="1"/>
  <c r="V152" i="5"/>
  <c r="U152" i="5"/>
  <c r="AO400" i="5"/>
  <c r="AN400" i="5"/>
  <c r="U488" i="5"/>
  <c r="V488" i="5"/>
  <c r="AO353" i="5"/>
  <c r="AN353" i="5"/>
  <c r="AN439" i="5"/>
  <c r="AO439" i="5"/>
  <c r="AO523" i="5"/>
  <c r="AN523" i="5"/>
  <c r="AN479" i="5"/>
  <c r="AO479" i="5"/>
  <c r="AN466" i="5"/>
  <c r="AO466" i="5"/>
  <c r="AN268" i="5"/>
  <c r="AO268" i="5"/>
  <c r="AO513" i="5"/>
  <c r="AN513" i="5"/>
  <c r="AO277" i="5"/>
  <c r="AN277" i="5"/>
  <c r="AN158" i="5"/>
  <c r="AO158" i="5"/>
  <c r="AO382" i="5"/>
  <c r="AN382" i="5"/>
  <c r="AO242" i="5"/>
  <c r="AN242" i="5"/>
  <c r="AO494" i="5"/>
  <c r="AN494" i="5"/>
  <c r="AO327" i="5"/>
  <c r="AN327" i="5"/>
  <c r="AO30" i="5"/>
  <c r="AN30" i="5"/>
  <c r="AN333" i="5"/>
  <c r="AO333" i="5"/>
  <c r="AN217" i="5"/>
  <c r="AO217" i="5"/>
  <c r="AN541" i="5"/>
  <c r="AO541" i="5"/>
  <c r="AN309" i="5"/>
  <c r="AO309" i="5"/>
  <c r="AO102" i="5"/>
  <c r="AN102" i="5"/>
  <c r="AN215" i="5"/>
  <c r="AO215" i="5"/>
  <c r="AO67" i="5"/>
  <c r="AN67" i="5"/>
  <c r="AM103" i="4"/>
  <c r="AN103" i="4" s="1"/>
  <c r="W103" i="4"/>
  <c r="V416" i="5"/>
  <c r="U416" i="5"/>
  <c r="AN153" i="5"/>
  <c r="AO153" i="5"/>
  <c r="V32" i="5"/>
  <c r="U32" i="5"/>
  <c r="U360" i="5"/>
  <c r="V360" i="5"/>
  <c r="AO387" i="5"/>
  <c r="AN387" i="5"/>
  <c r="U392" i="5"/>
  <c r="V392" i="5"/>
  <c r="V373" i="5"/>
  <c r="U373" i="5"/>
  <c r="U469" i="5"/>
  <c r="V469" i="5"/>
  <c r="V558" i="5"/>
  <c r="U558" i="5"/>
  <c r="U394" i="5"/>
  <c r="V394" i="5"/>
  <c r="V535" i="5"/>
  <c r="U535" i="5"/>
  <c r="U521" i="5"/>
  <c r="V521" i="5"/>
  <c r="U486" i="5"/>
  <c r="V486" i="5"/>
  <c r="U500" i="5"/>
  <c r="V500" i="5"/>
  <c r="U530" i="5"/>
  <c r="V530" i="5"/>
  <c r="V511" i="5"/>
  <c r="U511" i="5"/>
  <c r="V402" i="5"/>
  <c r="U402" i="5"/>
  <c r="U286" i="5"/>
  <c r="V286" i="5"/>
  <c r="U270" i="5"/>
  <c r="V270" i="5"/>
  <c r="U138" i="5"/>
  <c r="V138" i="5"/>
  <c r="V528" i="5"/>
  <c r="U528" i="5"/>
  <c r="U413" i="5"/>
  <c r="V413" i="5"/>
  <c r="U363" i="5"/>
  <c r="V363" i="5"/>
  <c r="V283" i="5"/>
  <c r="U283" i="5"/>
  <c r="V301" i="5"/>
  <c r="U301" i="5"/>
  <c r="V173" i="5"/>
  <c r="U173" i="5"/>
  <c r="U449" i="5"/>
  <c r="V449" i="5"/>
  <c r="U401" i="5"/>
  <c r="V401" i="5"/>
  <c r="V287" i="5"/>
  <c r="U287" i="5"/>
  <c r="V342" i="5"/>
  <c r="U342" i="5"/>
  <c r="U295" i="5"/>
  <c r="V295" i="5"/>
  <c r="V171" i="5"/>
  <c r="U171" i="5"/>
  <c r="V406" i="5"/>
  <c r="U406" i="5"/>
  <c r="U522" i="5"/>
  <c r="V522" i="5"/>
  <c r="U388" i="5"/>
  <c r="V388" i="5"/>
  <c r="U267" i="5"/>
  <c r="V267" i="5"/>
  <c r="V289" i="5"/>
  <c r="U289" i="5"/>
  <c r="V149" i="5"/>
  <c r="U149" i="5"/>
  <c r="U533" i="5"/>
  <c r="V533" i="5"/>
  <c r="V389" i="5"/>
  <c r="U389" i="5"/>
  <c r="U302" i="5"/>
  <c r="V302" i="5"/>
  <c r="U223" i="5"/>
  <c r="V223" i="5"/>
  <c r="U76" i="5"/>
  <c r="V76" i="5"/>
  <c r="V489" i="5"/>
  <c r="U489" i="5"/>
  <c r="U532" i="5"/>
  <c r="V532" i="5"/>
  <c r="V386" i="5"/>
  <c r="U386" i="5"/>
  <c r="V331" i="5"/>
  <c r="U331" i="5"/>
  <c r="U166" i="5"/>
  <c r="V166" i="5"/>
  <c r="U107" i="5"/>
  <c r="V107" i="5"/>
  <c r="V374" i="5"/>
  <c r="U374" i="5"/>
  <c r="U162" i="5"/>
  <c r="V162" i="5"/>
  <c r="U259" i="5"/>
  <c r="V259" i="5"/>
  <c r="V159" i="5"/>
  <c r="U159" i="5"/>
  <c r="V35" i="5"/>
  <c r="U35" i="5"/>
  <c r="U117" i="5"/>
  <c r="V117" i="5"/>
  <c r="U25" i="5"/>
  <c r="V25" i="5"/>
  <c r="U55" i="5"/>
  <c r="V55" i="5"/>
  <c r="AN379" i="5"/>
  <c r="AO379" i="5"/>
  <c r="V408" i="5"/>
  <c r="U408" i="5"/>
  <c r="W54" i="4"/>
  <c r="X54" i="4" s="1"/>
  <c r="AJ54" i="4" s="1"/>
  <c r="AO193" i="5"/>
  <c r="AN193" i="5"/>
  <c r="B102" i="2"/>
  <c r="B103" i="2" s="1"/>
  <c r="B73" i="2"/>
  <c r="B157" i="2"/>
  <c r="B92" i="2"/>
  <c r="B142" i="2"/>
  <c r="AH83" i="4"/>
  <c r="AH130" i="4"/>
  <c r="AH118" i="4"/>
  <c r="AH19" i="4"/>
  <c r="AH113" i="4"/>
  <c r="AH41" i="4"/>
  <c r="AH13" i="4"/>
  <c r="AH62" i="4"/>
  <c r="AH32" i="4"/>
  <c r="AH124" i="4"/>
  <c r="AH58" i="4"/>
  <c r="AH156" i="4"/>
  <c r="AH33" i="4"/>
  <c r="AH150" i="4"/>
  <c r="AH147" i="4"/>
  <c r="AH55" i="4"/>
  <c r="AH64" i="4"/>
  <c r="AH114" i="4"/>
  <c r="AH7" i="4"/>
  <c r="AH98" i="4"/>
  <c r="AH112" i="4"/>
  <c r="AH47" i="4"/>
  <c r="AH143" i="4"/>
  <c r="AH51" i="4"/>
  <c r="AH119" i="4"/>
  <c r="AH50" i="4"/>
  <c r="AH69" i="4"/>
  <c r="AK55" i="5"/>
  <c r="AL55" i="5"/>
  <c r="AM51" i="4"/>
  <c r="AN51" i="4" s="1"/>
  <c r="W51" i="4"/>
  <c r="Y51" i="4" s="1"/>
  <c r="Z51" i="4" s="1"/>
  <c r="AL99" i="5"/>
  <c r="AK99" i="5"/>
  <c r="V7" i="5"/>
  <c r="U7" i="5"/>
  <c r="AK240" i="5"/>
  <c r="AL240" i="5"/>
  <c r="AK455" i="5"/>
  <c r="AL455" i="5"/>
  <c r="AK411" i="5"/>
  <c r="AL411" i="5"/>
  <c r="AP411" i="5"/>
  <c r="AK464" i="5"/>
  <c r="AL464" i="5"/>
  <c r="AL71" i="5"/>
  <c r="AK71" i="5"/>
  <c r="AP71" i="5"/>
  <c r="AP167" i="5"/>
  <c r="AK167" i="5"/>
  <c r="AL167" i="5"/>
  <c r="AK435" i="5"/>
  <c r="AL435" i="5"/>
  <c r="AP435" i="5"/>
  <c r="AL233" i="5"/>
  <c r="AK233" i="5"/>
  <c r="AK276" i="5"/>
  <c r="AL276" i="5"/>
  <c r="AL386" i="5"/>
  <c r="AK386" i="5"/>
  <c r="AK375" i="5"/>
  <c r="AL375" i="5"/>
  <c r="AP375" i="5"/>
  <c r="AK285" i="5"/>
  <c r="AL285" i="5"/>
  <c r="AL362" i="5"/>
  <c r="AP362" i="5"/>
  <c r="AK362" i="5"/>
  <c r="AK229" i="5"/>
  <c r="AL229" i="5"/>
  <c r="AK49" i="5"/>
  <c r="AP49" i="5"/>
  <c r="AL49" i="5"/>
  <c r="AP518" i="5"/>
  <c r="AL518" i="5"/>
  <c r="AK518" i="5"/>
  <c r="AK363" i="5"/>
  <c r="AL363" i="5"/>
  <c r="AK185" i="5"/>
  <c r="AP185" i="5"/>
  <c r="AL185" i="5"/>
  <c r="AK471" i="5"/>
  <c r="AL471" i="5"/>
  <c r="AP471" i="5"/>
  <c r="AL470" i="5"/>
  <c r="AK470" i="5"/>
  <c r="AK255" i="5"/>
  <c r="AL255" i="5"/>
  <c r="AL92" i="5"/>
  <c r="AK92" i="5"/>
  <c r="AK472" i="5"/>
  <c r="AL472" i="5"/>
  <c r="AP472" i="5"/>
  <c r="AK348" i="5"/>
  <c r="AL348" i="5"/>
  <c r="AL238" i="5"/>
  <c r="AK238" i="5"/>
  <c r="AK29" i="5"/>
  <c r="AL29" i="5"/>
  <c r="AK443" i="5"/>
  <c r="AL443" i="5"/>
  <c r="AP443" i="5"/>
  <c r="AP292" i="5"/>
  <c r="AL292" i="5"/>
  <c r="AK292" i="5"/>
  <c r="AK80" i="5"/>
  <c r="AP80" i="5"/>
  <c r="AL80" i="5"/>
  <c r="AK532" i="5"/>
  <c r="AP532" i="5"/>
  <c r="AL532" i="5"/>
  <c r="AL387" i="5"/>
  <c r="AK387" i="5"/>
  <c r="AK243" i="5"/>
  <c r="AL243" i="5"/>
  <c r="AP243" i="5"/>
  <c r="AK75" i="5"/>
  <c r="AL75" i="5"/>
  <c r="AP75" i="5"/>
  <c r="AK62" i="5"/>
  <c r="AP62" i="5"/>
  <c r="AL62" i="5"/>
  <c r="AL526" i="5"/>
  <c r="AK526" i="5"/>
  <c r="AP526" i="5"/>
  <c r="AK388" i="5"/>
  <c r="AL388" i="5"/>
  <c r="AP388" i="5"/>
  <c r="AK237" i="5"/>
  <c r="AL237" i="5"/>
  <c r="AL28" i="5"/>
  <c r="AK28" i="5"/>
  <c r="AP28" i="5"/>
  <c r="AK523" i="5"/>
  <c r="AL523" i="5"/>
  <c r="AK316" i="5"/>
  <c r="AL316" i="5"/>
  <c r="AK236" i="5"/>
  <c r="AL236" i="5"/>
  <c r="AP236" i="5"/>
  <c r="AL125" i="5"/>
  <c r="AK125" i="5"/>
  <c r="AP125" i="5"/>
  <c r="AK452" i="5"/>
  <c r="AL452" i="5"/>
  <c r="AK428" i="5"/>
  <c r="AL428" i="5"/>
  <c r="AL252" i="5"/>
  <c r="AK252" i="5"/>
  <c r="AK156" i="5"/>
  <c r="AP156" i="5"/>
  <c r="AL156" i="5"/>
  <c r="AL46" i="5"/>
  <c r="AK46" i="5"/>
  <c r="AP46" i="5"/>
  <c r="AL508" i="5"/>
  <c r="AK508" i="5"/>
  <c r="AP508" i="5"/>
  <c r="AL412" i="5"/>
  <c r="AK412" i="5"/>
  <c r="AK177" i="5"/>
  <c r="AL177" i="5"/>
  <c r="AP177" i="5"/>
  <c r="AK110" i="5"/>
  <c r="AL110" i="5"/>
  <c r="AL42" i="5"/>
  <c r="AK42" i="5"/>
  <c r="AL502" i="5"/>
  <c r="AK502" i="5"/>
  <c r="AP502" i="5"/>
  <c r="AK346" i="5"/>
  <c r="AL346" i="5"/>
  <c r="AK189" i="5"/>
  <c r="AL189" i="5"/>
  <c r="AK68" i="5"/>
  <c r="AL68" i="5"/>
  <c r="AP68" i="5"/>
  <c r="AL251" i="5"/>
  <c r="AK251" i="5"/>
  <c r="AP251" i="5"/>
  <c r="AK102" i="5"/>
  <c r="AL102" i="5"/>
  <c r="AP102" i="5"/>
  <c r="AK26" i="5"/>
  <c r="AL26" i="5"/>
  <c r="AK479" i="5"/>
  <c r="AL479" i="5"/>
  <c r="AP479" i="5"/>
  <c r="AM53" i="4"/>
  <c r="AN53" i="4" s="1"/>
  <c r="W53" i="4"/>
  <c r="Y53" i="4" s="1"/>
  <c r="Z53" i="4" s="1"/>
  <c r="AF53" i="4" s="1"/>
  <c r="AL369" i="5"/>
  <c r="AK369" i="5"/>
  <c r="AP369" i="5"/>
  <c r="AK376" i="5"/>
  <c r="AP376" i="5"/>
  <c r="AL376" i="5"/>
  <c r="AL95" i="5"/>
  <c r="AK95" i="5"/>
  <c r="AP95" i="5"/>
  <c r="AK351" i="5"/>
  <c r="AL351" i="5"/>
  <c r="AK152" i="5"/>
  <c r="AP152" i="5"/>
  <c r="AL152" i="5"/>
  <c r="AN7" i="5"/>
  <c r="AO7" i="5"/>
  <c r="AM90" i="4"/>
  <c r="AN90" i="4" s="1"/>
  <c r="W90" i="4"/>
  <c r="Y90" i="4" s="1"/>
  <c r="AM114" i="4"/>
  <c r="AN114" i="4" s="1"/>
  <c r="W114" i="4"/>
  <c r="Y114" i="4" s="1"/>
  <c r="Z114" i="4" s="1"/>
  <c r="AM113" i="4"/>
  <c r="AN113" i="4" s="1"/>
  <c r="W113" i="4"/>
  <c r="Y113" i="4" s="1"/>
  <c r="AK416" i="5"/>
  <c r="AL416" i="5"/>
  <c r="AP416" i="5"/>
  <c r="AI7" i="5"/>
  <c r="AH7" i="5"/>
  <c r="AP7" i="5"/>
  <c r="AP431" i="5"/>
  <c r="AL431" i="5"/>
  <c r="AK431" i="5"/>
  <c r="AL353" i="5"/>
  <c r="AK353" i="5"/>
  <c r="AP353" i="5"/>
  <c r="AK113" i="5"/>
  <c r="AL113" i="5"/>
  <c r="AK534" i="5"/>
  <c r="AL534" i="5"/>
  <c r="AP534" i="5"/>
  <c r="AL31" i="5"/>
  <c r="AK31" i="5"/>
  <c r="AH99" i="4"/>
  <c r="AH65" i="4"/>
  <c r="AL81" i="5"/>
  <c r="AK81" i="5"/>
  <c r="AK160" i="5"/>
  <c r="AL160" i="5"/>
  <c r="AK135" i="5"/>
  <c r="AL135" i="5"/>
  <c r="AP452" i="5"/>
  <c r="AK531" i="5"/>
  <c r="AL531" i="5"/>
  <c r="AP208" i="5"/>
  <c r="AK208" i="5"/>
  <c r="AL208" i="5"/>
  <c r="AK389" i="5"/>
  <c r="AL389" i="5"/>
  <c r="AK501" i="5"/>
  <c r="AP501" i="5"/>
  <c r="AL501" i="5"/>
  <c r="AL374" i="5"/>
  <c r="AK374" i="5"/>
  <c r="AP374" i="5"/>
  <c r="AL215" i="5"/>
  <c r="AK215" i="5"/>
  <c r="AP215" i="5"/>
  <c r="AL24" i="5"/>
  <c r="AK24" i="5"/>
  <c r="AK466" i="5"/>
  <c r="AL466" i="5"/>
  <c r="AL325" i="5"/>
  <c r="AP325" i="5"/>
  <c r="AK325" i="5"/>
  <c r="AK123" i="5"/>
  <c r="AL123" i="5"/>
  <c r="AP123" i="5"/>
  <c r="AP468" i="5"/>
  <c r="AK468" i="5"/>
  <c r="AL468" i="5"/>
  <c r="AK407" i="5"/>
  <c r="AL407" i="5"/>
  <c r="AP407" i="5"/>
  <c r="AK284" i="5"/>
  <c r="AL284" i="5"/>
  <c r="AK73" i="5"/>
  <c r="AL73" i="5"/>
  <c r="AP73" i="5"/>
  <c r="AL414" i="5"/>
  <c r="AK414" i="5"/>
  <c r="AP414" i="5"/>
  <c r="AL408" i="5"/>
  <c r="AK408" i="5"/>
  <c r="AP408" i="5"/>
  <c r="AK196" i="5"/>
  <c r="AL196" i="5"/>
  <c r="AP196" i="5"/>
  <c r="AK557" i="5"/>
  <c r="AL557" i="5"/>
  <c r="AK505" i="5"/>
  <c r="AL505" i="5"/>
  <c r="AP505" i="5"/>
  <c r="AL315" i="5"/>
  <c r="AK315" i="5"/>
  <c r="AP315" i="5"/>
  <c r="AL128" i="5"/>
  <c r="AK128" i="5"/>
  <c r="AK538" i="5"/>
  <c r="AL538" i="5"/>
  <c r="AP538" i="5"/>
  <c r="AL406" i="5"/>
  <c r="AK406" i="5"/>
  <c r="AK181" i="5"/>
  <c r="AL181" i="5"/>
  <c r="AL63" i="5"/>
  <c r="AK63" i="5"/>
  <c r="AP63" i="5"/>
  <c r="AK39" i="5"/>
  <c r="AL39" i="5"/>
  <c r="AP39" i="5"/>
  <c r="AK437" i="5"/>
  <c r="AL437" i="5"/>
  <c r="AK434" i="5"/>
  <c r="AL434" i="5"/>
  <c r="AK204" i="5"/>
  <c r="AL204" i="5"/>
  <c r="AP204" i="5"/>
  <c r="AK514" i="5"/>
  <c r="AL514" i="5"/>
  <c r="AP514" i="5"/>
  <c r="AK492" i="5"/>
  <c r="AL492" i="5"/>
  <c r="AL286" i="5"/>
  <c r="AK286" i="5"/>
  <c r="AL172" i="5"/>
  <c r="AK172" i="5"/>
  <c r="AP172" i="5"/>
  <c r="AK85" i="5"/>
  <c r="AL85" i="5"/>
  <c r="AP85" i="5"/>
  <c r="AK552" i="5"/>
  <c r="AL552" i="5"/>
  <c r="AL381" i="5"/>
  <c r="AK381" i="5"/>
  <c r="AL322" i="5"/>
  <c r="AP322" i="5"/>
  <c r="AK322" i="5"/>
  <c r="AK164" i="5"/>
  <c r="AL164" i="5"/>
  <c r="AK497" i="5"/>
  <c r="AL497" i="5"/>
  <c r="AL418" i="5"/>
  <c r="AK418" i="5"/>
  <c r="AL356" i="5"/>
  <c r="AK356" i="5"/>
  <c r="AK305" i="5"/>
  <c r="AL305" i="5"/>
  <c r="AK149" i="5"/>
  <c r="AL149" i="5"/>
  <c r="AP44" i="5"/>
  <c r="AK44" i="5"/>
  <c r="AL44" i="5"/>
  <c r="AL506" i="5"/>
  <c r="AK506" i="5"/>
  <c r="AK333" i="5"/>
  <c r="AL333" i="5"/>
  <c r="AL234" i="5"/>
  <c r="AK234" i="5"/>
  <c r="AL38" i="5"/>
  <c r="AK38" i="5"/>
  <c r="AL329" i="5"/>
  <c r="AK329" i="5"/>
  <c r="AP329" i="5"/>
  <c r="AL141" i="5"/>
  <c r="AK141" i="5"/>
  <c r="AK256" i="5"/>
  <c r="AL256" i="5"/>
  <c r="AK447" i="5"/>
  <c r="AL447" i="5"/>
  <c r="AL112" i="5"/>
  <c r="AK112" i="5"/>
  <c r="AP164" i="5"/>
  <c r="AP305" i="5"/>
  <c r="AK459" i="5"/>
  <c r="AL459" i="5"/>
  <c r="AP459" i="5"/>
  <c r="AK88" i="5"/>
  <c r="AL88" i="5"/>
  <c r="AP88" i="5"/>
  <c r="AL541" i="5"/>
  <c r="AK541" i="5"/>
  <c r="AP541" i="5"/>
  <c r="AM50" i="4"/>
  <c r="AN50" i="4" s="1"/>
  <c r="W50" i="4"/>
  <c r="Y50" i="4" s="1"/>
  <c r="Z50" i="4" s="1"/>
  <c r="AL56" i="5"/>
  <c r="AK56" i="5"/>
  <c r="AL144" i="5"/>
  <c r="AK144" i="5"/>
  <c r="AK368" i="5"/>
  <c r="AL368" i="5"/>
  <c r="AK7" i="5"/>
  <c r="AL7" i="5"/>
  <c r="AQ51" i="5"/>
  <c r="AM122" i="4"/>
  <c r="AN122" i="4" s="1"/>
  <c r="W122" i="4"/>
  <c r="Y122" i="4" s="1"/>
  <c r="Z122" i="4" s="1"/>
  <c r="AK525" i="5"/>
  <c r="AL525" i="5"/>
  <c r="AK489" i="5"/>
  <c r="AL489" i="5"/>
  <c r="AP489" i="5"/>
  <c r="AK89" i="5"/>
  <c r="AL89" i="5"/>
  <c r="AP399" i="5"/>
  <c r="AK399" i="5"/>
  <c r="AL399" i="5"/>
  <c r="AM119" i="4"/>
  <c r="AN119" i="4" s="1"/>
  <c r="W119" i="4"/>
  <c r="Y119" i="4" s="1"/>
  <c r="Z119" i="4" s="1"/>
  <c r="AK449" i="5"/>
  <c r="AL449" i="5"/>
  <c r="AK359" i="5"/>
  <c r="AL359" i="5"/>
  <c r="AM36" i="4"/>
  <c r="AN36" i="4" s="1"/>
  <c r="W36" i="4"/>
  <c r="Y36" i="4" s="1"/>
  <c r="Z36" i="4" s="1"/>
  <c r="AF36" i="4" s="1"/>
  <c r="AP412" i="5"/>
  <c r="AK495" i="5"/>
  <c r="AL495" i="5"/>
  <c r="AK536" i="5"/>
  <c r="AL536" i="5"/>
  <c r="AL493" i="5"/>
  <c r="AK493" i="5"/>
  <c r="AL433" i="5"/>
  <c r="AP433" i="5"/>
  <c r="AK433" i="5"/>
  <c r="AL427" i="5"/>
  <c r="AP427" i="5"/>
  <c r="AK427" i="5"/>
  <c r="AK162" i="5"/>
  <c r="AL162" i="5"/>
  <c r="AL543" i="5"/>
  <c r="AK543" i="5"/>
  <c r="AP543" i="5"/>
  <c r="AP288" i="5"/>
  <c r="AL288" i="5"/>
  <c r="AK288" i="5"/>
  <c r="AK245" i="5"/>
  <c r="AL245" i="5"/>
  <c r="AK87" i="5"/>
  <c r="AL87" i="5"/>
  <c r="AL261" i="5"/>
  <c r="AK261" i="5"/>
  <c r="AK323" i="5"/>
  <c r="AL323" i="5"/>
  <c r="AP323" i="5"/>
  <c r="AL209" i="5"/>
  <c r="AK209" i="5"/>
  <c r="AP209" i="5"/>
  <c r="AK66" i="5"/>
  <c r="AL66" i="5"/>
  <c r="AK503" i="5"/>
  <c r="AL503" i="5"/>
  <c r="AP503" i="5"/>
  <c r="AL344" i="5"/>
  <c r="AP344" i="5"/>
  <c r="AK344" i="5"/>
  <c r="AL168" i="5"/>
  <c r="AK168" i="5"/>
  <c r="AP168" i="5"/>
  <c r="AL554" i="5"/>
  <c r="AK554" i="5"/>
  <c r="AP554" i="5"/>
  <c r="AK444" i="5"/>
  <c r="AL444" i="5"/>
  <c r="AK248" i="5"/>
  <c r="AL248" i="5"/>
  <c r="AP248" i="5"/>
  <c r="AL104" i="5"/>
  <c r="AK104" i="5"/>
  <c r="AK458" i="5"/>
  <c r="AL458" i="5"/>
  <c r="AL336" i="5"/>
  <c r="AK336" i="5"/>
  <c r="AP336" i="5"/>
  <c r="AK219" i="5"/>
  <c r="AL219" i="5"/>
  <c r="AL25" i="5"/>
  <c r="AK25" i="5"/>
  <c r="AK23" i="5"/>
  <c r="AL23" i="5"/>
  <c r="AL266" i="5"/>
  <c r="AK266" i="5"/>
  <c r="AP266" i="5"/>
  <c r="AK377" i="5"/>
  <c r="AL377" i="5"/>
  <c r="AP377" i="5"/>
  <c r="AP179" i="5"/>
  <c r="AK179" i="5"/>
  <c r="AL179" i="5"/>
  <c r="AL462" i="5"/>
  <c r="AK462" i="5"/>
  <c r="AK429" i="5"/>
  <c r="AL429" i="5"/>
  <c r="AP429" i="5"/>
  <c r="AL258" i="5"/>
  <c r="AK258" i="5"/>
  <c r="AK228" i="5"/>
  <c r="AL228" i="5"/>
  <c r="AP228" i="5"/>
  <c r="AL60" i="5"/>
  <c r="AK60" i="5"/>
  <c r="AP60" i="5"/>
  <c r="AK485" i="5"/>
  <c r="AL485" i="5"/>
  <c r="AK300" i="5"/>
  <c r="AL300" i="5"/>
  <c r="AK310" i="5"/>
  <c r="AL310" i="5"/>
  <c r="AP310" i="5"/>
  <c r="AL114" i="5"/>
  <c r="AP114" i="5"/>
  <c r="AK114" i="5"/>
  <c r="AK535" i="5"/>
  <c r="AL535" i="5"/>
  <c r="AK482" i="5"/>
  <c r="AL482" i="5"/>
  <c r="AP482" i="5"/>
  <c r="AL340" i="5"/>
  <c r="AK340" i="5"/>
  <c r="AP269" i="5"/>
  <c r="AK269" i="5"/>
  <c r="AL269" i="5"/>
  <c r="AL118" i="5"/>
  <c r="AK118" i="5"/>
  <c r="AK486" i="5"/>
  <c r="AL486" i="5"/>
  <c r="AL446" i="5"/>
  <c r="AK446" i="5"/>
  <c r="AP446" i="5"/>
  <c r="AK221" i="5"/>
  <c r="AL221" i="5"/>
  <c r="AP242" i="5"/>
  <c r="AK242" i="5"/>
  <c r="AL242" i="5"/>
  <c r="AL370" i="5"/>
  <c r="AK370" i="5"/>
  <c r="AL294" i="5"/>
  <c r="AK294" i="5"/>
  <c r="AK70" i="5"/>
  <c r="AL70" i="5"/>
  <c r="AK199" i="5"/>
  <c r="AL199" i="5"/>
  <c r="AP351" i="5"/>
  <c r="AM13" i="4"/>
  <c r="AN13" i="4" s="1"/>
  <c r="W13" i="4"/>
  <c r="Y13" i="4" s="1"/>
  <c r="Z13" i="4" s="1"/>
  <c r="AP286" i="5"/>
  <c r="AP523" i="5"/>
  <c r="AK155" i="5"/>
  <c r="AL155" i="5"/>
  <c r="AP155" i="5"/>
  <c r="B80" i="2"/>
  <c r="B143" i="2"/>
  <c r="B75" i="2"/>
  <c r="B108" i="2"/>
  <c r="B109" i="2" s="1"/>
  <c r="B98" i="2"/>
  <c r="AP55" i="5"/>
  <c r="AP221" i="5"/>
  <c r="AK224" i="5"/>
  <c r="AL224" i="5"/>
  <c r="AP224" i="5"/>
  <c r="AK223" i="5"/>
  <c r="AL223" i="5"/>
  <c r="AL35" i="5"/>
  <c r="AK35" i="5"/>
  <c r="AP35" i="5"/>
  <c r="AK97" i="5"/>
  <c r="AL97" i="5"/>
  <c r="AK367" i="5"/>
  <c r="AL367" i="5"/>
  <c r="AP367" i="5"/>
  <c r="AL107" i="5"/>
  <c r="AK107" i="5"/>
  <c r="AP107" i="5"/>
  <c r="AL328" i="5"/>
  <c r="AK328" i="5"/>
  <c r="AK183" i="5"/>
  <c r="AP183" i="5"/>
  <c r="AL183" i="5"/>
  <c r="AK439" i="5"/>
  <c r="AL439" i="5"/>
  <c r="AL32" i="5"/>
  <c r="AK32" i="5"/>
  <c r="AP32" i="5"/>
  <c r="AL303" i="5"/>
  <c r="AP303" i="5"/>
  <c r="AK303" i="5"/>
  <c r="W136" i="4"/>
  <c r="Y136" i="4" s="1"/>
  <c r="AK335" i="5"/>
  <c r="AL335" i="5"/>
  <c r="AL96" i="5"/>
  <c r="AK96" i="5"/>
  <c r="AL47" i="5"/>
  <c r="AK47" i="5"/>
  <c r="AL265" i="5"/>
  <c r="AK265" i="5"/>
  <c r="AP265" i="5"/>
  <c r="AL121" i="5"/>
  <c r="AK121" i="5"/>
  <c r="AP423" i="5"/>
  <c r="AK423" i="5"/>
  <c r="AL423" i="5"/>
  <c r="AM99" i="4"/>
  <c r="AN99" i="4" s="1"/>
  <c r="W99" i="4"/>
  <c r="Y99" i="4" s="1"/>
  <c r="Z99" i="4" s="1"/>
  <c r="AM112" i="4"/>
  <c r="AN112" i="4" s="1"/>
  <c r="W112" i="4"/>
  <c r="Y112" i="4" s="1"/>
  <c r="Z112" i="4" s="1"/>
  <c r="AF112" i="4" s="1"/>
  <c r="AM65" i="4"/>
  <c r="AN65" i="4" s="1"/>
  <c r="W65" i="4"/>
  <c r="Y65" i="4" s="1"/>
  <c r="Z65" i="4" s="1"/>
  <c r="AL201" i="5"/>
  <c r="AP201" i="5"/>
  <c r="AK201" i="5"/>
  <c r="AL306" i="5"/>
  <c r="AK306" i="5"/>
  <c r="AK400" i="5"/>
  <c r="AL400" i="5"/>
  <c r="AP400" i="5"/>
  <c r="AK212" i="5"/>
  <c r="AL212" i="5"/>
  <c r="AK520" i="5"/>
  <c r="AL520" i="5"/>
  <c r="AK365" i="5"/>
  <c r="AL365" i="5"/>
  <c r="AL178" i="5"/>
  <c r="AK178" i="5"/>
  <c r="AL475" i="5"/>
  <c r="AK475" i="5"/>
  <c r="AP475" i="5"/>
  <c r="AK476" i="5"/>
  <c r="AL476" i="5"/>
  <c r="AK268" i="5"/>
  <c r="AL268" i="5"/>
  <c r="AP268" i="5"/>
  <c r="AK98" i="5"/>
  <c r="AP98" i="5"/>
  <c r="AL98" i="5"/>
  <c r="AK491" i="5"/>
  <c r="AL491" i="5"/>
  <c r="AK364" i="5"/>
  <c r="AL364" i="5"/>
  <c r="AL244" i="5"/>
  <c r="AK244" i="5"/>
  <c r="AL30" i="5"/>
  <c r="AK30" i="5"/>
  <c r="AK450" i="5"/>
  <c r="AL450" i="5"/>
  <c r="AL304" i="5"/>
  <c r="AK304" i="5"/>
  <c r="AK86" i="5"/>
  <c r="AL86" i="5"/>
  <c r="AP86" i="5"/>
  <c r="AL549" i="5"/>
  <c r="AK549" i="5"/>
  <c r="AP549" i="5"/>
  <c r="AK391" i="5"/>
  <c r="AL391" i="5"/>
  <c r="AP391" i="5"/>
  <c r="AL247" i="5"/>
  <c r="AP247" i="5"/>
  <c r="AK247" i="5"/>
  <c r="AL76" i="5"/>
  <c r="AK76" i="5"/>
  <c r="AP76" i="5"/>
  <c r="AL393" i="5"/>
  <c r="AP393" i="5"/>
  <c r="AK393" i="5"/>
  <c r="AL390" i="5"/>
  <c r="AK390" i="5"/>
  <c r="AL182" i="5"/>
  <c r="AK182" i="5"/>
  <c r="AK137" i="5"/>
  <c r="AL137" i="5"/>
  <c r="AP137" i="5"/>
  <c r="AM13" i="5"/>
  <c r="T13" i="5"/>
  <c r="AG13" i="5"/>
  <c r="Q13" i="5"/>
  <c r="AJ13" i="5"/>
  <c r="W13" i="5"/>
  <c r="AK481" i="5"/>
  <c r="AL481" i="5"/>
  <c r="AP481" i="5"/>
  <c r="AK355" i="5"/>
  <c r="AL355" i="5"/>
  <c r="AK140" i="5"/>
  <c r="AL140" i="5"/>
  <c r="AL558" i="5"/>
  <c r="AK558" i="5"/>
  <c r="AK405" i="5"/>
  <c r="AL405" i="5"/>
  <c r="AL324" i="5"/>
  <c r="AK324" i="5"/>
  <c r="AK173" i="5"/>
  <c r="AL173" i="5"/>
  <c r="AK61" i="5"/>
  <c r="AL61" i="5"/>
  <c r="AP61" i="5"/>
  <c r="AK445" i="5"/>
  <c r="AL445" i="5"/>
  <c r="AP445" i="5"/>
  <c r="AL354" i="5"/>
  <c r="AK354" i="5"/>
  <c r="AK198" i="5"/>
  <c r="AL198" i="5"/>
  <c r="AP198" i="5"/>
  <c r="AL157" i="5"/>
  <c r="AK157" i="5"/>
  <c r="AL556" i="5"/>
  <c r="AK556" i="5"/>
  <c r="AL461" i="5"/>
  <c r="AK461" i="5"/>
  <c r="AK308" i="5"/>
  <c r="AP308" i="5"/>
  <c r="AL308" i="5"/>
  <c r="AK193" i="5"/>
  <c r="AP193" i="5"/>
  <c r="AL193" i="5"/>
  <c r="AP100" i="5"/>
  <c r="AK100" i="5"/>
  <c r="AL100" i="5"/>
  <c r="AL548" i="5"/>
  <c r="AK548" i="5"/>
  <c r="AL338" i="5"/>
  <c r="AK338" i="5"/>
  <c r="AL314" i="5"/>
  <c r="AK314" i="5"/>
  <c r="AL180" i="5"/>
  <c r="AK180" i="5"/>
  <c r="AP180" i="5"/>
  <c r="AK345" i="5"/>
  <c r="AL345" i="5"/>
  <c r="AL253" i="5"/>
  <c r="AK253" i="5"/>
  <c r="AP253" i="5"/>
  <c r="AK58" i="5"/>
  <c r="AL58" i="5"/>
  <c r="AP160" i="5"/>
  <c r="AP466" i="5"/>
  <c r="AL395" i="5"/>
  <c r="AP395" i="5"/>
  <c r="AK395" i="5"/>
  <c r="AP363" i="5"/>
  <c r="AK504" i="5"/>
  <c r="AL504" i="5"/>
  <c r="AP504" i="5"/>
  <c r="V12" i="5"/>
  <c r="U12" i="5"/>
  <c r="AK311" i="5"/>
  <c r="AP311" i="5"/>
  <c r="AL311" i="5"/>
  <c r="AK111" i="5"/>
  <c r="AL111" i="5"/>
  <c r="AP111" i="5"/>
  <c r="AL40" i="5"/>
  <c r="AK40" i="5"/>
  <c r="AP40" i="5"/>
  <c r="AL280" i="5"/>
  <c r="AK280" i="5"/>
  <c r="AM124" i="4"/>
  <c r="AN124" i="4" s="1"/>
  <c r="W124" i="4"/>
  <c r="Y124" i="4" s="1"/>
  <c r="Z124" i="4" s="1"/>
  <c r="AP328" i="5"/>
  <c r="X7" i="5"/>
  <c r="Y7" i="5"/>
  <c r="AL119" i="5"/>
  <c r="AK119" i="5"/>
  <c r="AK79" i="5"/>
  <c r="AL79" i="5"/>
  <c r="AL143" i="5"/>
  <c r="AK143" i="5"/>
  <c r="AK313" i="5"/>
  <c r="AL313" i="5"/>
  <c r="AK72" i="5"/>
  <c r="AL72" i="5"/>
  <c r="AL264" i="5"/>
  <c r="AK264" i="5"/>
  <c r="AK320" i="5"/>
  <c r="AP320" i="5"/>
  <c r="AL320" i="5"/>
  <c r="AL207" i="5"/>
  <c r="AK207" i="5"/>
  <c r="AP207" i="5"/>
  <c r="AL473" i="5"/>
  <c r="AK473" i="5"/>
  <c r="AP464" i="5"/>
  <c r="AL553" i="5"/>
  <c r="AK553" i="5"/>
  <c r="AH144" i="4"/>
  <c r="B105" i="2"/>
  <c r="B106" i="2" s="1"/>
  <c r="B74" i="2"/>
  <c r="B95" i="2"/>
  <c r="AL546" i="5"/>
  <c r="AK546" i="5"/>
  <c r="AP546" i="5"/>
  <c r="AK175" i="5"/>
  <c r="AL175" i="5"/>
  <c r="AK10" i="5"/>
  <c r="AL10" i="5"/>
  <c r="AL469" i="5"/>
  <c r="AP469" i="5"/>
  <c r="AK469" i="5"/>
  <c r="AK334" i="5"/>
  <c r="AP334" i="5"/>
  <c r="AL334" i="5"/>
  <c r="AL129" i="5"/>
  <c r="AK129" i="5"/>
  <c r="AK516" i="5"/>
  <c r="AL516" i="5"/>
  <c r="AK409" i="5"/>
  <c r="AL409" i="5"/>
  <c r="AP409" i="5"/>
  <c r="AK290" i="5"/>
  <c r="AL290" i="5"/>
  <c r="AK91" i="5"/>
  <c r="AL91" i="5"/>
  <c r="AL424" i="5"/>
  <c r="AK424" i="5"/>
  <c r="AP424" i="5"/>
  <c r="AK419" i="5"/>
  <c r="AL419" i="5"/>
  <c r="AK124" i="5"/>
  <c r="AL124" i="5"/>
  <c r="AP124" i="5"/>
  <c r="AK474" i="5"/>
  <c r="AL474" i="5"/>
  <c r="AK511" i="5"/>
  <c r="AL511" i="5"/>
  <c r="AP511" i="5"/>
  <c r="AK332" i="5"/>
  <c r="AL332" i="5"/>
  <c r="AL146" i="5"/>
  <c r="AK146" i="5"/>
  <c r="AL540" i="5"/>
  <c r="AK540" i="5"/>
  <c r="AK415" i="5"/>
  <c r="AL415" i="5"/>
  <c r="AP415" i="5"/>
  <c r="AK192" i="5"/>
  <c r="AL192" i="5"/>
  <c r="AL69" i="5"/>
  <c r="AK69" i="5"/>
  <c r="AL494" i="5"/>
  <c r="AK494" i="5"/>
  <c r="AL296" i="5"/>
  <c r="AK296" i="5"/>
  <c r="AL154" i="5"/>
  <c r="AK154" i="5"/>
  <c r="AK151" i="5"/>
  <c r="AL151" i="5"/>
  <c r="AP151" i="5"/>
  <c r="AP19" i="5"/>
  <c r="AL19" i="5"/>
  <c r="AK19" i="5"/>
  <c r="AK373" i="5"/>
  <c r="AL373" i="5"/>
  <c r="AP373" i="5"/>
  <c r="AL267" i="5"/>
  <c r="AK267" i="5"/>
  <c r="AK134" i="5"/>
  <c r="AL134" i="5"/>
  <c r="AK490" i="5"/>
  <c r="AP490" i="5"/>
  <c r="AL490" i="5"/>
  <c r="AK382" i="5"/>
  <c r="AL382" i="5"/>
  <c r="AL301" i="5"/>
  <c r="AK301" i="5"/>
  <c r="AK166" i="5"/>
  <c r="AL166" i="5"/>
  <c r="AK52" i="5"/>
  <c r="AL52" i="5"/>
  <c r="AP52" i="5"/>
  <c r="AK421" i="5"/>
  <c r="AL421" i="5"/>
  <c r="AK413" i="5"/>
  <c r="AP413" i="5"/>
  <c r="AL413" i="5"/>
  <c r="AL197" i="5"/>
  <c r="AK197" i="5"/>
  <c r="AP197" i="5"/>
  <c r="AL130" i="5"/>
  <c r="AK130" i="5"/>
  <c r="AK547" i="5"/>
  <c r="AP547" i="5"/>
  <c r="AL547" i="5"/>
  <c r="AP385" i="5"/>
  <c r="AK385" i="5"/>
  <c r="AL385" i="5"/>
  <c r="AL277" i="5"/>
  <c r="AK277" i="5"/>
  <c r="AP277" i="5"/>
  <c r="AK222" i="5"/>
  <c r="AL222" i="5"/>
  <c r="AL109" i="5"/>
  <c r="AK109" i="5"/>
  <c r="AL528" i="5"/>
  <c r="AK528" i="5"/>
  <c r="AK396" i="5"/>
  <c r="AL396" i="5"/>
  <c r="AP254" i="5"/>
  <c r="AK254" i="5"/>
  <c r="AL254" i="5"/>
  <c r="AK133" i="5"/>
  <c r="AL133" i="5"/>
  <c r="AL246" i="5"/>
  <c r="AK246" i="5"/>
  <c r="AP246" i="5"/>
  <c r="AK241" i="5"/>
  <c r="AL241" i="5"/>
  <c r="AP241" i="5"/>
  <c r="AK65" i="5"/>
  <c r="AL65" i="5"/>
  <c r="AP128" i="5"/>
  <c r="AK384" i="5"/>
  <c r="AL384" i="5"/>
  <c r="AP553" i="5"/>
  <c r="AP121" i="5"/>
  <c r="AP154" i="5"/>
  <c r="AP149" i="5"/>
  <c r="AL203" i="5"/>
  <c r="AP203" i="5"/>
  <c r="AK203" i="5"/>
  <c r="AL176" i="5"/>
  <c r="AK176" i="5"/>
  <c r="AP256" i="5"/>
  <c r="AK448" i="5"/>
  <c r="AL448" i="5"/>
  <c r="AL263" i="5"/>
  <c r="AK263" i="5"/>
  <c r="AP263" i="5"/>
  <c r="AP316" i="5"/>
  <c r="AP285" i="5"/>
  <c r="AP294" i="5"/>
  <c r="AP115" i="5"/>
  <c r="AK115" i="5"/>
  <c r="AL115" i="5"/>
  <c r="AL339" i="5"/>
  <c r="AP339" i="5"/>
  <c r="AK339" i="5"/>
  <c r="AL360" i="5"/>
  <c r="AK360" i="5"/>
  <c r="AK127" i="5"/>
  <c r="AL127" i="5"/>
  <c r="AK83" i="5"/>
  <c r="AL83" i="5"/>
  <c r="AP83" i="5"/>
  <c r="AK48" i="5"/>
  <c r="AL48" i="5"/>
  <c r="AP240" i="5"/>
  <c r="AK488" i="5"/>
  <c r="AL488" i="5"/>
  <c r="AM147" i="4"/>
  <c r="AN147" i="4" s="1"/>
  <c r="W147" i="4"/>
  <c r="Y147" i="4" s="1"/>
  <c r="Z147" i="4" s="1"/>
  <c r="AP113" i="5"/>
  <c r="AP96" i="5"/>
  <c r="AK216" i="5"/>
  <c r="AL216" i="5"/>
  <c r="AK271" i="5"/>
  <c r="AL271" i="5"/>
  <c r="AP271" i="5"/>
  <c r="AK430" i="5"/>
  <c r="AL430" i="5"/>
  <c r="AP430" i="5"/>
  <c r="AL456" i="5"/>
  <c r="AK456" i="5"/>
  <c r="AP456" i="5"/>
  <c r="AL545" i="5"/>
  <c r="AK545" i="5"/>
  <c r="AL361" i="5"/>
  <c r="AK361" i="5"/>
  <c r="AP361" i="5"/>
  <c r="AK260" i="5"/>
  <c r="AL260" i="5"/>
  <c r="AK122" i="5"/>
  <c r="AL122" i="5"/>
  <c r="AP122" i="5"/>
  <c r="AP279" i="5"/>
  <c r="AL279" i="5"/>
  <c r="AK279" i="5"/>
  <c r="AL343" i="5"/>
  <c r="AK343" i="5"/>
  <c r="AP343" i="5"/>
  <c r="AK220" i="5"/>
  <c r="AL220" i="5"/>
  <c r="AP220" i="5"/>
  <c r="AK27" i="5"/>
  <c r="AL27" i="5"/>
  <c r="AP27" i="5"/>
  <c r="AK513" i="5"/>
  <c r="AL513" i="5"/>
  <c r="AP513" i="5"/>
  <c r="AK350" i="5"/>
  <c r="AL350" i="5"/>
  <c r="AP174" i="5"/>
  <c r="AK174" i="5"/>
  <c r="AL174" i="5"/>
  <c r="AL560" i="5"/>
  <c r="AK560" i="5"/>
  <c r="AK453" i="5"/>
  <c r="AL453" i="5"/>
  <c r="AP453" i="5"/>
  <c r="AK249" i="5"/>
  <c r="AL249" i="5"/>
  <c r="AP249" i="5"/>
  <c r="AK90" i="5"/>
  <c r="AL90" i="5"/>
  <c r="AP90" i="5"/>
  <c r="AL460" i="5"/>
  <c r="AK460" i="5"/>
  <c r="AL341" i="5"/>
  <c r="AK341" i="5"/>
  <c r="AK235" i="5"/>
  <c r="AL235" i="5"/>
  <c r="AP235" i="5"/>
  <c r="AL37" i="5"/>
  <c r="AK37" i="5"/>
  <c r="AL441" i="5"/>
  <c r="AK441" i="5"/>
  <c r="AP441" i="5"/>
  <c r="AK289" i="5"/>
  <c r="AL289" i="5"/>
  <c r="AP289" i="5"/>
  <c r="AK145" i="5"/>
  <c r="AL145" i="5"/>
  <c r="AP145" i="5"/>
  <c r="AL136" i="5"/>
  <c r="AP136" i="5"/>
  <c r="AK136" i="5"/>
  <c r="AK498" i="5"/>
  <c r="AL498" i="5"/>
  <c r="AP480" i="5"/>
  <c r="AL480" i="5"/>
  <c r="AK480" i="5"/>
  <c r="AL287" i="5"/>
  <c r="AK287" i="5"/>
  <c r="AK106" i="5"/>
  <c r="AL106" i="5"/>
  <c r="AP106" i="5"/>
  <c r="AK422" i="5"/>
  <c r="AL422" i="5"/>
  <c r="AL398" i="5"/>
  <c r="AK398" i="5"/>
  <c r="AK230" i="5"/>
  <c r="AL230" i="5"/>
  <c r="AP230" i="5"/>
  <c r="AK150" i="5"/>
  <c r="AL150" i="5"/>
  <c r="AP150" i="5"/>
  <c r="AK21" i="5"/>
  <c r="AL21" i="5"/>
  <c r="AK509" i="5"/>
  <c r="AL509" i="5"/>
  <c r="AP509" i="5"/>
  <c r="AL380" i="5"/>
  <c r="AK380" i="5"/>
  <c r="AK226" i="5"/>
  <c r="AL226" i="5"/>
  <c r="AK84" i="5"/>
  <c r="AL84" i="5"/>
  <c r="AP84" i="5"/>
  <c r="AK527" i="5"/>
  <c r="AL527" i="5"/>
  <c r="AL401" i="5"/>
  <c r="AP401" i="5"/>
  <c r="AK401" i="5"/>
  <c r="AK250" i="5"/>
  <c r="AL250" i="5"/>
  <c r="AK194" i="5"/>
  <c r="AL194" i="5"/>
  <c r="AK78" i="5"/>
  <c r="AL78" i="5"/>
  <c r="AP550" i="5"/>
  <c r="AK550" i="5"/>
  <c r="AL550" i="5"/>
  <c r="AK420" i="5"/>
  <c r="AL420" i="5"/>
  <c r="AK330" i="5"/>
  <c r="AL330" i="5"/>
  <c r="AL116" i="5"/>
  <c r="AK116" i="5"/>
  <c r="AP116" i="5"/>
  <c r="AK297" i="5"/>
  <c r="AL297" i="5"/>
  <c r="AP297" i="5"/>
  <c r="AK214" i="5"/>
  <c r="AL214" i="5"/>
  <c r="AK36" i="5"/>
  <c r="AP36" i="5"/>
  <c r="AL36" i="5"/>
  <c r="AK512" i="5"/>
  <c r="AL512" i="5"/>
  <c r="AP473" i="5"/>
  <c r="AP439" i="5"/>
  <c r="S12" i="5"/>
  <c r="R12" i="5"/>
  <c r="AP89" i="5"/>
  <c r="AP449" i="5"/>
  <c r="AP458" i="5"/>
  <c r="AL59" i="5"/>
  <c r="AK59" i="5"/>
  <c r="AP59" i="5"/>
  <c r="AK457" i="5"/>
  <c r="AL457" i="5"/>
  <c r="AL519" i="5"/>
  <c r="AK519" i="5"/>
  <c r="AP519" i="5"/>
  <c r="AK217" i="5"/>
  <c r="AL217" i="5"/>
  <c r="AK200" i="5"/>
  <c r="AL200" i="5"/>
  <c r="AP200" i="5"/>
  <c r="AH107" i="4"/>
  <c r="AM156" i="4"/>
  <c r="AN156" i="4" s="1"/>
  <c r="W156" i="4"/>
  <c r="Y156" i="4" s="1"/>
  <c r="Z156" i="4" s="1"/>
  <c r="AK432" i="5"/>
  <c r="AL432" i="5"/>
  <c r="AP223" i="5"/>
  <c r="W107" i="4"/>
  <c r="Y107" i="4" s="1"/>
  <c r="Z107" i="4" s="1"/>
  <c r="AM107" i="4"/>
  <c r="AN107" i="4" s="1"/>
  <c r="AL8" i="5"/>
  <c r="AK8" i="5"/>
  <c r="AP280" i="5"/>
  <c r="S7" i="5"/>
  <c r="R7" i="5"/>
  <c r="AH90" i="4"/>
  <c r="AL312" i="5"/>
  <c r="AK312" i="5"/>
  <c r="AK295" i="5"/>
  <c r="AL295" i="5"/>
  <c r="AP295" i="5"/>
  <c r="AP455" i="5"/>
  <c r="AL211" i="5"/>
  <c r="AK211" i="5"/>
  <c r="AL347" i="5"/>
  <c r="AK347" i="5"/>
  <c r="AP347" i="5"/>
  <c r="AP8" i="5"/>
  <c r="AK327" i="5"/>
  <c r="AL327" i="5"/>
  <c r="AP341" i="5"/>
  <c r="AL438" i="5"/>
  <c r="AK438" i="5"/>
  <c r="AK326" i="5"/>
  <c r="AL326" i="5"/>
  <c r="AL318" i="5"/>
  <c r="AK318" i="5"/>
  <c r="AL478" i="5"/>
  <c r="AK478" i="5"/>
  <c r="AP478" i="5"/>
  <c r="AL477" i="5"/>
  <c r="AK477" i="5"/>
  <c r="AK275" i="5"/>
  <c r="AL275" i="5"/>
  <c r="AP275" i="5"/>
  <c r="AK103" i="5"/>
  <c r="AL103" i="5"/>
  <c r="AL496" i="5"/>
  <c r="AK496" i="5"/>
  <c r="AP366" i="5"/>
  <c r="AK366" i="5"/>
  <c r="AL366" i="5"/>
  <c r="AK202" i="5"/>
  <c r="AL202" i="5"/>
  <c r="AK41" i="5"/>
  <c r="AL41" i="5"/>
  <c r="AP41" i="5"/>
  <c r="AK463" i="5"/>
  <c r="AL463" i="5"/>
  <c r="AL319" i="5"/>
  <c r="AK319" i="5"/>
  <c r="AP319" i="5"/>
  <c r="AL108" i="5"/>
  <c r="AK108" i="5"/>
  <c r="AP108" i="5"/>
  <c r="AL559" i="5"/>
  <c r="AK559" i="5"/>
  <c r="AP559" i="5"/>
  <c r="AK397" i="5"/>
  <c r="AL397" i="5"/>
  <c r="AL262" i="5"/>
  <c r="AK262" i="5"/>
  <c r="AK77" i="5"/>
  <c r="AL77" i="5"/>
  <c r="AK402" i="5"/>
  <c r="AL402" i="5"/>
  <c r="AK392" i="5"/>
  <c r="AL392" i="5"/>
  <c r="AK184" i="5"/>
  <c r="AL184" i="5"/>
  <c r="AL555" i="5"/>
  <c r="AP555" i="5"/>
  <c r="AK555" i="5"/>
  <c r="AL500" i="5"/>
  <c r="AP500" i="5"/>
  <c r="AK500" i="5"/>
  <c r="AK309" i="5"/>
  <c r="AP309" i="5"/>
  <c r="AL309" i="5"/>
  <c r="AL126" i="5"/>
  <c r="AK126" i="5"/>
  <c r="AK117" i="5"/>
  <c r="AL117" i="5"/>
  <c r="AK530" i="5"/>
  <c r="AL530" i="5"/>
  <c r="AK352" i="5"/>
  <c r="AL352" i="5"/>
  <c r="AP352" i="5"/>
  <c r="AK321" i="5"/>
  <c r="AL321" i="5"/>
  <c r="AK82" i="5"/>
  <c r="AL82" i="5"/>
  <c r="AL510" i="5"/>
  <c r="AK510" i="5"/>
  <c r="AK358" i="5"/>
  <c r="AL358" i="5"/>
  <c r="AP358" i="5"/>
  <c r="AL317" i="5"/>
  <c r="AK317" i="5"/>
  <c r="AP317" i="5"/>
  <c r="AL132" i="5"/>
  <c r="AP132" i="5"/>
  <c r="AK132" i="5"/>
  <c r="AL20" i="5"/>
  <c r="AK20" i="5"/>
  <c r="AL454" i="5"/>
  <c r="AK454" i="5"/>
  <c r="AK357" i="5"/>
  <c r="AL357" i="5"/>
  <c r="AP357" i="5"/>
  <c r="AL205" i="5"/>
  <c r="AK205" i="5"/>
  <c r="AK54" i="5"/>
  <c r="AL54" i="5"/>
  <c r="AP442" i="5"/>
  <c r="AK442" i="5"/>
  <c r="AL442" i="5"/>
  <c r="AK394" i="5"/>
  <c r="AL394" i="5"/>
  <c r="AL293" i="5"/>
  <c r="AK293" i="5"/>
  <c r="AP293" i="5"/>
  <c r="AK165" i="5"/>
  <c r="AL165" i="5"/>
  <c r="AL74" i="5"/>
  <c r="AP74" i="5"/>
  <c r="AK74" i="5"/>
  <c r="AL542" i="5"/>
  <c r="AK542" i="5"/>
  <c r="AK378" i="5"/>
  <c r="AL378" i="5"/>
  <c r="AL298" i="5"/>
  <c r="AK298" i="5"/>
  <c r="AP298" i="5"/>
  <c r="AK138" i="5"/>
  <c r="AL138" i="5"/>
  <c r="AK270" i="5"/>
  <c r="AL270" i="5"/>
  <c r="AL148" i="5"/>
  <c r="AK148" i="5"/>
  <c r="AK34" i="5"/>
  <c r="AL34" i="5"/>
  <c r="AP91" i="5"/>
  <c r="AK231" i="5"/>
  <c r="AL231" i="5"/>
  <c r="AP231" i="5"/>
  <c r="AP419" i="5"/>
  <c r="AP29" i="5"/>
  <c r="AP389" i="5"/>
  <c r="AP99" i="5"/>
  <c r="AK191" i="5"/>
  <c r="AL191" i="5"/>
  <c r="AP191" i="5"/>
  <c r="AP421" i="5"/>
  <c r="AP162" i="5"/>
  <c r="AK131" i="5"/>
  <c r="AL131" i="5"/>
  <c r="AK171" i="5"/>
  <c r="AP171" i="5"/>
  <c r="AL171" i="5"/>
  <c r="AL195" i="5"/>
  <c r="AK195" i="5"/>
  <c r="AP195" i="5"/>
  <c r="AK467" i="5"/>
  <c r="AL467" i="5"/>
  <c r="AP467" i="5"/>
  <c r="AK403" i="5"/>
  <c r="AL403" i="5"/>
  <c r="AP403" i="5"/>
  <c r="AL272" i="5"/>
  <c r="AK272" i="5"/>
  <c r="AP272" i="5"/>
  <c r="AL299" i="5"/>
  <c r="AK299" i="5"/>
  <c r="AK239" i="5"/>
  <c r="AL239" i="5"/>
  <c r="AL291" i="5"/>
  <c r="AK291" i="5"/>
  <c r="AK487" i="5"/>
  <c r="AL487" i="5"/>
  <c r="AK515" i="5"/>
  <c r="AL515" i="5"/>
  <c r="AP515" i="5"/>
  <c r="AP264" i="5"/>
  <c r="AM41" i="4"/>
  <c r="AN41" i="4" s="1"/>
  <c r="W41" i="4"/>
  <c r="Y41" i="4" s="1"/>
  <c r="Z41" i="4" s="1"/>
  <c r="AF41" i="4" s="1"/>
  <c r="AH36" i="4"/>
  <c r="AL163" i="5"/>
  <c r="AK163" i="5"/>
  <c r="AP163" i="5"/>
  <c r="AP97" i="5"/>
  <c r="AK507" i="5"/>
  <c r="AL507" i="5"/>
  <c r="AP507" i="5"/>
  <c r="AL524" i="5"/>
  <c r="AK524" i="5"/>
  <c r="AL210" i="5"/>
  <c r="AK210" i="5"/>
  <c r="AL522" i="5"/>
  <c r="AK522" i="5"/>
  <c r="AK410" i="5"/>
  <c r="AL410" i="5"/>
  <c r="AL302" i="5"/>
  <c r="AK302" i="5"/>
  <c r="AL67" i="5"/>
  <c r="AK67" i="5"/>
  <c r="AP67" i="5"/>
  <c r="AP425" i="5"/>
  <c r="AK425" i="5"/>
  <c r="AL425" i="5"/>
  <c r="AK426" i="5"/>
  <c r="AL426" i="5"/>
  <c r="AK142" i="5"/>
  <c r="AL142" i="5"/>
  <c r="AK529" i="5"/>
  <c r="AL529" i="5"/>
  <c r="AP529" i="5"/>
  <c r="AP537" i="5"/>
  <c r="AL537" i="5"/>
  <c r="AK537" i="5"/>
  <c r="AL190" i="5"/>
  <c r="AK190" i="5"/>
  <c r="AK161" i="5"/>
  <c r="AL161" i="5"/>
  <c r="AP161" i="5"/>
  <c r="AL544" i="5"/>
  <c r="AK544" i="5"/>
  <c r="AL259" i="5"/>
  <c r="AK259" i="5"/>
  <c r="AK206" i="5"/>
  <c r="AL206" i="5"/>
  <c r="AP206" i="5"/>
  <c r="AL53" i="5"/>
  <c r="AK53" i="5"/>
  <c r="AP53" i="5"/>
  <c r="AK499" i="5"/>
  <c r="AL499" i="5"/>
  <c r="AL337" i="5"/>
  <c r="AK337" i="5"/>
  <c r="AL139" i="5"/>
  <c r="AK139" i="5"/>
  <c r="AP139" i="5"/>
  <c r="AL551" i="5"/>
  <c r="AK551" i="5"/>
  <c r="AL440" i="5"/>
  <c r="AP440" i="5"/>
  <c r="AK440" i="5"/>
  <c r="AK331" i="5"/>
  <c r="AL331" i="5"/>
  <c r="AP331" i="5"/>
  <c r="AK94" i="5"/>
  <c r="AL94" i="5"/>
  <c r="AK93" i="5"/>
  <c r="AL93" i="5"/>
  <c r="AK404" i="5"/>
  <c r="AL404" i="5"/>
  <c r="AL372" i="5"/>
  <c r="AK372" i="5"/>
  <c r="AL232" i="5"/>
  <c r="AK232" i="5"/>
  <c r="AL57" i="5"/>
  <c r="AP57" i="5"/>
  <c r="AK57" i="5"/>
  <c r="AK436" i="5"/>
  <c r="AL436" i="5"/>
  <c r="AK274" i="5"/>
  <c r="AL274" i="5"/>
  <c r="AK278" i="5"/>
  <c r="AL278" i="5"/>
  <c r="AK158" i="5"/>
  <c r="AL158" i="5"/>
  <c r="AK22" i="5"/>
  <c r="AL22" i="5"/>
  <c r="AK484" i="5"/>
  <c r="AL484" i="5"/>
  <c r="AP484" i="5"/>
  <c r="AK282" i="5"/>
  <c r="AP282" i="5"/>
  <c r="AL282" i="5"/>
  <c r="AK170" i="5"/>
  <c r="AL170" i="5"/>
  <c r="AP170" i="5"/>
  <c r="AK45" i="5"/>
  <c r="AL45" i="5"/>
  <c r="AL417" i="5"/>
  <c r="AK417" i="5"/>
  <c r="AK349" i="5"/>
  <c r="AP349" i="5"/>
  <c r="AL349" i="5"/>
  <c r="AK257" i="5"/>
  <c r="AL257" i="5"/>
  <c r="AL186" i="5"/>
  <c r="AK186" i="5"/>
  <c r="AP186" i="5"/>
  <c r="AP50" i="5"/>
  <c r="AL50" i="5"/>
  <c r="AK50" i="5"/>
  <c r="AK517" i="5"/>
  <c r="AL517" i="5"/>
  <c r="AK342" i="5"/>
  <c r="AL342" i="5"/>
  <c r="AP342" i="5"/>
  <c r="AL218" i="5"/>
  <c r="AK218" i="5"/>
  <c r="AK101" i="5"/>
  <c r="AL101" i="5"/>
  <c r="AK213" i="5"/>
  <c r="AP213" i="5"/>
  <c r="AL213" i="5"/>
  <c r="AL188" i="5"/>
  <c r="AP188" i="5"/>
  <c r="AK188" i="5"/>
  <c r="AL33" i="5"/>
  <c r="AP33" i="5"/>
  <c r="AK33" i="5"/>
  <c r="AP31" i="5"/>
  <c r="AM32" i="4"/>
  <c r="AN32" i="4" s="1"/>
  <c r="W32" i="4"/>
  <c r="Y32" i="4" s="1"/>
  <c r="AP499" i="5"/>
  <c r="AK281" i="5"/>
  <c r="AL281" i="5"/>
  <c r="AK120" i="5"/>
  <c r="AL120" i="5"/>
  <c r="AP120" i="5"/>
  <c r="AK159" i="5"/>
  <c r="AL159" i="5"/>
  <c r="AK383" i="5"/>
  <c r="AL383" i="5"/>
  <c r="AK533" i="5"/>
  <c r="AL533" i="5"/>
  <c r="AP299" i="5"/>
  <c r="W154" i="4" l="1"/>
  <c r="Y154" i="4" s="1"/>
  <c r="W120" i="4"/>
  <c r="Y120" i="4" s="1"/>
  <c r="AQ169" i="5"/>
  <c r="AR356" i="5"/>
  <c r="AL12" i="5"/>
  <c r="AR382" i="5"/>
  <c r="AR527" i="5"/>
  <c r="AM104" i="4"/>
  <c r="AN104" i="4" s="1"/>
  <c r="Z154" i="4"/>
  <c r="Z33" i="4"/>
  <c r="AF33" i="4" s="1"/>
  <c r="AJ73" i="4"/>
  <c r="AR147" i="5"/>
  <c r="AQ301" i="5"/>
  <c r="AQ192" i="5"/>
  <c r="AQ432" i="5"/>
  <c r="AQ234" i="5"/>
  <c r="AR222" i="5"/>
  <c r="AQ548" i="5"/>
  <c r="AH12" i="5"/>
  <c r="AR270" i="5"/>
  <c r="AP12" i="5"/>
  <c r="AQ12" i="5" s="1"/>
  <c r="AR273" i="5"/>
  <c r="AR348" i="5"/>
  <c r="AR212" i="5"/>
  <c r="AQ187" i="5"/>
  <c r="AQ135" i="5"/>
  <c r="AR314" i="5"/>
  <c r="AQ346" i="5"/>
  <c r="AQ43" i="5"/>
  <c r="AR465" i="5"/>
  <c r="AR451" i="5"/>
  <c r="AR556" i="5"/>
  <c r="AR516" i="5"/>
  <c r="AQ306" i="5"/>
  <c r="AQ418" i="5"/>
  <c r="AR536" i="5"/>
  <c r="AR189" i="5"/>
  <c r="AQ332" i="5"/>
  <c r="AQ48" i="5"/>
  <c r="AR386" i="5"/>
  <c r="AQ24" i="5"/>
  <c r="AN12" i="5"/>
  <c r="AR300" i="5"/>
  <c r="AQ225" i="5"/>
  <c r="AR283" i="5"/>
  <c r="X12" i="5"/>
  <c r="AR148" i="5"/>
  <c r="AO12" i="5"/>
  <c r="AQ340" i="5"/>
  <c r="AQ47" i="5"/>
  <c r="AR486" i="5"/>
  <c r="AR450" i="5"/>
  <c r="AR166" i="5"/>
  <c r="AR157" i="5"/>
  <c r="AR217" i="5"/>
  <c r="AQ133" i="5"/>
  <c r="AR383" i="5"/>
  <c r="AR69" i="5"/>
  <c r="AQ398" i="5"/>
  <c r="AQ333" i="5"/>
  <c r="AQ387" i="5"/>
  <c r="AR483" i="5"/>
  <c r="AQ92" i="5"/>
  <c r="AQ182" i="5"/>
  <c r="AQ540" i="5"/>
  <c r="AQ304" i="5"/>
  <c r="AR390" i="5"/>
  <c r="AQ26" i="5"/>
  <c r="AQ552" i="5"/>
  <c r="AR281" i="5"/>
  <c r="AR560" i="5"/>
  <c r="AR199" i="5"/>
  <c r="AR437" i="5"/>
  <c r="AR359" i="5"/>
  <c r="AP10" i="5"/>
  <c r="AR10" i="5" s="1"/>
  <c r="AR129" i="5"/>
  <c r="AR153" i="5"/>
  <c r="AQ227" i="5"/>
  <c r="AR521" i="5"/>
  <c r="AR379" i="5"/>
  <c r="AQ141" i="5"/>
  <c r="AR380" i="5"/>
  <c r="AR434" i="5"/>
  <c r="AQ58" i="5"/>
  <c r="AR252" i="5"/>
  <c r="AQ25" i="5"/>
  <c r="AR146" i="5"/>
  <c r="AQ127" i="5"/>
  <c r="AR558" i="5"/>
  <c r="AQ460" i="5"/>
  <c r="AQ109" i="5"/>
  <c r="AR65" i="5"/>
  <c r="AR510" i="5"/>
  <c r="AR461" i="5"/>
  <c r="AR267" i="5"/>
  <c r="AR506" i="5"/>
  <c r="AR290" i="5"/>
  <c r="AR324" i="5"/>
  <c r="AQ307" i="5"/>
  <c r="AR105" i="5"/>
  <c r="AQ175" i="5"/>
  <c r="AQ313" i="5"/>
  <c r="AR250" i="5"/>
  <c r="AQ118" i="5"/>
  <c r="AQ539" i="5"/>
  <c r="AR494" i="5"/>
  <c r="AR237" i="5"/>
  <c r="AR496" i="5"/>
  <c r="AR394" i="5"/>
  <c r="AQ492" i="5"/>
  <c r="AQ365" i="5"/>
  <c r="AQ371" i="5"/>
  <c r="AR159" i="5"/>
  <c r="AR176" i="5"/>
  <c r="AQ338" i="5"/>
  <c r="AR528" i="5"/>
  <c r="AR524" i="5"/>
  <c r="AQ485" i="5"/>
  <c r="AR202" i="5"/>
  <c r="AQ491" i="5"/>
  <c r="AR470" i="5"/>
  <c r="AQ287" i="5"/>
  <c r="AQ112" i="5"/>
  <c r="AQ178" i="5"/>
  <c r="AQ372" i="5"/>
  <c r="AQ38" i="5"/>
  <c r="AR205" i="5"/>
  <c r="AR64" i="5"/>
  <c r="AR244" i="5"/>
  <c r="AR81" i="5"/>
  <c r="AR216" i="5"/>
  <c r="AR522" i="5"/>
  <c r="W80" i="4"/>
  <c r="Y80" i="4" s="1"/>
  <c r="Z80" i="4" s="1"/>
  <c r="AM95" i="4"/>
  <c r="AN95" i="4" s="1"/>
  <c r="AM42" i="4"/>
  <c r="AN42" i="4" s="1"/>
  <c r="W131" i="4"/>
  <c r="Y131" i="4" s="1"/>
  <c r="Z131" i="4" s="1"/>
  <c r="AF131" i="4" s="1"/>
  <c r="Z88" i="4"/>
  <c r="AF88" i="4" s="1"/>
  <c r="AM88" i="4"/>
  <c r="AN88" i="4" s="1"/>
  <c r="W17" i="4"/>
  <c r="Y17" i="4" s="1"/>
  <c r="Z17" i="4" s="1"/>
  <c r="AF17" i="4" s="1"/>
  <c r="AG17" i="4" s="1"/>
  <c r="AI17" i="4" s="1"/>
  <c r="Z56" i="4"/>
  <c r="AF56" i="4" s="1"/>
  <c r="Z121" i="4"/>
  <c r="AF121" i="4" s="1"/>
  <c r="AM82" i="4"/>
  <c r="AN82" i="4" s="1"/>
  <c r="W138" i="4"/>
  <c r="Y138" i="4" s="1"/>
  <c r="Z138" i="4" s="1"/>
  <c r="AF138" i="4" s="1"/>
  <c r="W86" i="4"/>
  <c r="Y86" i="4" s="1"/>
  <c r="Z86" i="4" s="1"/>
  <c r="AM97" i="4"/>
  <c r="AN97" i="4" s="1"/>
  <c r="AM151" i="4"/>
  <c r="AN151" i="4" s="1"/>
  <c r="W28" i="4"/>
  <c r="Y28" i="4" s="1"/>
  <c r="Z28" i="4" s="1"/>
  <c r="W27" i="4"/>
  <c r="Y27" i="4" s="1"/>
  <c r="Z27" i="4" s="1"/>
  <c r="AF27" i="4" s="1"/>
  <c r="AG27" i="4" s="1"/>
  <c r="AI27" i="4" s="1"/>
  <c r="Z151" i="4"/>
  <c r="AF151" i="4" s="1"/>
  <c r="AG151" i="4" s="1"/>
  <c r="AI151" i="4" s="1"/>
  <c r="W149" i="4"/>
  <c r="Y149" i="4" s="1"/>
  <c r="Z149" i="4" s="1"/>
  <c r="AF149" i="4" s="1"/>
  <c r="AO149" i="4" s="1"/>
  <c r="W78" i="4"/>
  <c r="Y78" i="4" s="1"/>
  <c r="Z78" i="4" s="1"/>
  <c r="AF78" i="4" s="1"/>
  <c r="AG78" i="4" s="1"/>
  <c r="AI78" i="4" s="1"/>
  <c r="AM45" i="4"/>
  <c r="AN45" i="4" s="1"/>
  <c r="Z96" i="4"/>
  <c r="AF96" i="4" s="1"/>
  <c r="AO96" i="4" s="1"/>
  <c r="Z104" i="4"/>
  <c r="AF104" i="4" s="1"/>
  <c r="X98" i="4"/>
  <c r="AJ98" i="4" s="1"/>
  <c r="Z98" i="4"/>
  <c r="AF98" i="4" s="1"/>
  <c r="AG98" i="4" s="1"/>
  <c r="AI98" i="4" s="1"/>
  <c r="W8" i="4"/>
  <c r="AE8" i="4" s="1"/>
  <c r="AM98" i="4"/>
  <c r="AN98" i="4" s="1"/>
  <c r="AE98" i="4"/>
  <c r="W108" i="4"/>
  <c r="Y108" i="4" s="1"/>
  <c r="Z108" i="4" s="1"/>
  <c r="W81" i="4"/>
  <c r="Y81" i="4" s="1"/>
  <c r="Z81" i="4" s="1"/>
  <c r="Z136" i="4"/>
  <c r="AF136" i="4" s="1"/>
  <c r="AO136" i="4" s="1"/>
  <c r="Z82" i="4"/>
  <c r="AF82" i="4" s="1"/>
  <c r="AO82" i="4" s="1"/>
  <c r="W89" i="4"/>
  <c r="Y89" i="4" s="1"/>
  <c r="Z89" i="4" s="1"/>
  <c r="AF89" i="4" s="1"/>
  <c r="AG89" i="4" s="1"/>
  <c r="AI89" i="4" s="1"/>
  <c r="W85" i="4"/>
  <c r="Y85" i="4" s="1"/>
  <c r="Z85" i="4" s="1"/>
  <c r="AF85" i="4" s="1"/>
  <c r="AG85" i="4" s="1"/>
  <c r="AI85" i="4" s="1"/>
  <c r="AN77" i="4"/>
  <c r="Z44" i="4"/>
  <c r="AF44" i="4" s="1"/>
  <c r="W137" i="4"/>
  <c r="Y137" i="4" s="1"/>
  <c r="Z137" i="4" s="1"/>
  <c r="AM44" i="4"/>
  <c r="AN44" i="4" s="1"/>
  <c r="W40" i="4"/>
  <c r="Y40" i="4" s="1"/>
  <c r="Z40" i="4" s="1"/>
  <c r="AF40" i="4" s="1"/>
  <c r="AG40" i="4" s="1"/>
  <c r="AI40" i="4" s="1"/>
  <c r="W29" i="4"/>
  <c r="Y29" i="4" s="1"/>
  <c r="Z29" i="4" s="1"/>
  <c r="AF29" i="4" s="1"/>
  <c r="W146" i="4"/>
  <c r="Y146" i="4" s="1"/>
  <c r="Z146" i="4" s="1"/>
  <c r="AF146" i="4" s="1"/>
  <c r="AM102" i="4"/>
  <c r="AN102" i="4" s="1"/>
  <c r="W9" i="4"/>
  <c r="Y9" i="4" s="1"/>
  <c r="Z9" i="4" s="1"/>
  <c r="AF9" i="4" s="1"/>
  <c r="AO9" i="4" s="1"/>
  <c r="W60" i="4"/>
  <c r="Y60" i="4" s="1"/>
  <c r="Z60" i="4" s="1"/>
  <c r="AF60" i="4" s="1"/>
  <c r="W106" i="4"/>
  <c r="Y106" i="4" s="1"/>
  <c r="Z106" i="4" s="1"/>
  <c r="AF106" i="4" s="1"/>
  <c r="AO106" i="4" s="1"/>
  <c r="W139" i="4"/>
  <c r="Y139" i="4" s="1"/>
  <c r="Z139" i="4" s="1"/>
  <c r="W153" i="4"/>
  <c r="Y153" i="4" s="1"/>
  <c r="Z153" i="4" s="1"/>
  <c r="W25" i="4"/>
  <c r="Y25" i="4" s="1"/>
  <c r="Z25" i="4" s="1"/>
  <c r="AF25" i="4" s="1"/>
  <c r="AG25" i="4" s="1"/>
  <c r="AI25" i="4" s="1"/>
  <c r="W74" i="4"/>
  <c r="Y74" i="4" s="1"/>
  <c r="Z74" i="4" s="1"/>
  <c r="AF74" i="4" s="1"/>
  <c r="AO74" i="4" s="1"/>
  <c r="AN157" i="4"/>
  <c r="W30" i="4"/>
  <c r="Y30" i="4" s="1"/>
  <c r="Z30" i="4" s="1"/>
  <c r="AF30" i="4" s="1"/>
  <c r="AG30" i="4" s="1"/>
  <c r="AI30" i="4" s="1"/>
  <c r="W47" i="4"/>
  <c r="AE47" i="4" s="1"/>
  <c r="Z110" i="4"/>
  <c r="AF110" i="4" s="1"/>
  <c r="AM110" i="4"/>
  <c r="AN110" i="4" s="1"/>
  <c r="AM87" i="4"/>
  <c r="AN87" i="4" s="1"/>
  <c r="W48" i="4"/>
  <c r="Y48" i="4" s="1"/>
  <c r="Z48" i="4" s="1"/>
  <c r="AF48" i="4" s="1"/>
  <c r="W126" i="4"/>
  <c r="X126" i="4" s="1"/>
  <c r="AJ126" i="4" s="1"/>
  <c r="W31" i="4"/>
  <c r="Y31" i="4" s="1"/>
  <c r="Z31" i="4" s="1"/>
  <c r="AF31" i="4" s="1"/>
  <c r="AG31" i="4" s="1"/>
  <c r="AI31" i="4" s="1"/>
  <c r="W75" i="4"/>
  <c r="Y75" i="4" s="1"/>
  <c r="Z75" i="4" s="1"/>
  <c r="AF75" i="4" s="1"/>
  <c r="AO75" i="4" s="1"/>
  <c r="W92" i="4"/>
  <c r="Y92" i="4" s="1"/>
  <c r="Z92" i="4" s="1"/>
  <c r="W100" i="4"/>
  <c r="X100" i="4" s="1"/>
  <c r="AJ100" i="4" s="1"/>
  <c r="W55" i="4"/>
  <c r="Y55" i="4" s="1"/>
  <c r="Z55" i="4" s="1"/>
  <c r="AM116" i="4"/>
  <c r="AN116" i="4" s="1"/>
  <c r="W123" i="4"/>
  <c r="Y123" i="4" s="1"/>
  <c r="Z123" i="4" s="1"/>
  <c r="AR405" i="5"/>
  <c r="AQ134" i="5"/>
  <c r="AQ497" i="5"/>
  <c r="AQ119" i="5"/>
  <c r="AQ404" i="5"/>
  <c r="AR335" i="5"/>
  <c r="AR354" i="5"/>
  <c r="AQ130" i="5"/>
  <c r="AR245" i="5"/>
  <c r="AR72" i="5"/>
  <c r="AQ428" i="5"/>
  <c r="AQ410" i="5"/>
  <c r="AR557" i="5"/>
  <c r="AQ454" i="5"/>
  <c r="AQ214" i="5"/>
  <c r="AQ396" i="5"/>
  <c r="AR238" i="5"/>
  <c r="AR520" i="5"/>
  <c r="AQ93" i="5"/>
  <c r="AQ345" i="5"/>
  <c r="AR262" i="5"/>
  <c r="AQ78" i="5"/>
  <c r="AQ544" i="5"/>
  <c r="AR312" i="5"/>
  <c r="AQ173" i="5"/>
  <c r="AQ355" i="5"/>
  <c r="AQ326" i="5"/>
  <c r="AR512" i="5"/>
  <c r="AQ402" i="5"/>
  <c r="AQ110" i="5"/>
  <c r="AQ218" i="5"/>
  <c r="AR477" i="5"/>
  <c r="AQ350" i="5"/>
  <c r="W63" i="4"/>
  <c r="AE63" i="4" s="1"/>
  <c r="W111" i="4"/>
  <c r="Y111" i="4" s="1"/>
  <c r="Z111" i="4" s="1"/>
  <c r="AM11" i="4"/>
  <c r="AN11" i="4" s="1"/>
  <c r="AM49" i="4"/>
  <c r="AN49" i="4" s="1"/>
  <c r="W38" i="4"/>
  <c r="X38" i="4" s="1"/>
  <c r="AJ38" i="4" s="1"/>
  <c r="W91" i="4"/>
  <c r="X91" i="4" s="1"/>
  <c r="AJ91" i="4" s="1"/>
  <c r="W118" i="4"/>
  <c r="Y118" i="4" s="1"/>
  <c r="Z118" i="4" s="1"/>
  <c r="AN118" i="4"/>
  <c r="Z16" i="4"/>
  <c r="AF16" i="4" s="1"/>
  <c r="Z102" i="4"/>
  <c r="AF102" i="4" s="1"/>
  <c r="AG102" i="4" s="1"/>
  <c r="AI102" i="4" s="1"/>
  <c r="W7" i="4"/>
  <c r="AE7" i="4" s="1"/>
  <c r="W76" i="4"/>
  <c r="X76" i="4" s="1"/>
  <c r="AJ76" i="4" s="1"/>
  <c r="W127" i="4"/>
  <c r="X127" i="4" s="1"/>
  <c r="AJ127" i="4" s="1"/>
  <c r="Z49" i="4"/>
  <c r="AF49" i="4" s="1"/>
  <c r="AO49" i="4" s="1"/>
  <c r="AM52" i="4"/>
  <c r="AN52" i="4" s="1"/>
  <c r="W18" i="4"/>
  <c r="Y18" i="4" s="1"/>
  <c r="Z18" i="4" s="1"/>
  <c r="AF18" i="4" s="1"/>
  <c r="Z97" i="4"/>
  <c r="AF97" i="4" s="1"/>
  <c r="AO97" i="4" s="1"/>
  <c r="AM70" i="4"/>
  <c r="AN70" i="4" s="1"/>
  <c r="W35" i="4"/>
  <c r="X35" i="4" s="1"/>
  <c r="AJ35" i="4" s="1"/>
  <c r="AR535" i="5"/>
  <c r="AQ476" i="5"/>
  <c r="AR517" i="5"/>
  <c r="AR406" i="5"/>
  <c r="AR498" i="5"/>
  <c r="AQ104" i="5"/>
  <c r="AR330" i="5"/>
  <c r="AQ79" i="5"/>
  <c r="AQ184" i="5"/>
  <c r="AR384" i="5"/>
  <c r="AR426" i="5"/>
  <c r="AQ30" i="5"/>
  <c r="AR165" i="5"/>
  <c r="AR34" i="5"/>
  <c r="AQ318" i="5"/>
  <c r="AQ87" i="5"/>
  <c r="AR260" i="5"/>
  <c r="AQ23" i="5"/>
  <c r="AR551" i="5"/>
  <c r="AQ444" i="5"/>
  <c r="AQ530" i="5"/>
  <c r="AR321" i="5"/>
  <c r="AQ158" i="5"/>
  <c r="AR417" i="5"/>
  <c r="AQ302" i="5"/>
  <c r="AR70" i="5"/>
  <c r="AQ211" i="5"/>
  <c r="AN105" i="4"/>
  <c r="AC546" i="5"/>
  <c r="AD546" i="5" s="1"/>
  <c r="AC523" i="5"/>
  <c r="AE523" i="5" s="1"/>
  <c r="AC459" i="5"/>
  <c r="AD459" i="5" s="1"/>
  <c r="AC206" i="5"/>
  <c r="AS206" i="5" s="1"/>
  <c r="AL9" i="5"/>
  <c r="Z87" i="4"/>
  <c r="AF87" i="4" s="1"/>
  <c r="AO87" i="4" s="1"/>
  <c r="AC379" i="5"/>
  <c r="AE379" i="5" s="1"/>
  <c r="AC392" i="5"/>
  <c r="AS392" i="5" s="1"/>
  <c r="AC371" i="5"/>
  <c r="AE371" i="5" s="1"/>
  <c r="AC522" i="5"/>
  <c r="AE522" i="5" s="1"/>
  <c r="AC512" i="5"/>
  <c r="AD512" i="5" s="1"/>
  <c r="AC429" i="5"/>
  <c r="AS429" i="5" s="1"/>
  <c r="Z117" i="4"/>
  <c r="AF117" i="4" s="1"/>
  <c r="AC160" i="5"/>
  <c r="AS160" i="5" s="1"/>
  <c r="AB288" i="5"/>
  <c r="AC234" i="5"/>
  <c r="AD234" i="5" s="1"/>
  <c r="AC525" i="5"/>
  <c r="AE525" i="5" s="1"/>
  <c r="AC426" i="5"/>
  <c r="AD426" i="5" s="1"/>
  <c r="AC534" i="5"/>
  <c r="AD534" i="5" s="1"/>
  <c r="AC432" i="5"/>
  <c r="AS432" i="5" s="1"/>
  <c r="AC221" i="5"/>
  <c r="AS221" i="5" s="1"/>
  <c r="AC121" i="5"/>
  <c r="AS121" i="5" s="1"/>
  <c r="AC537" i="5"/>
  <c r="AE537" i="5" s="1"/>
  <c r="V11" i="5"/>
  <c r="AC80" i="5"/>
  <c r="AS80" i="5" s="1"/>
  <c r="AC23" i="5"/>
  <c r="AD23" i="5" s="1"/>
  <c r="AC530" i="5"/>
  <c r="AD530" i="5" s="1"/>
  <c r="AC289" i="5"/>
  <c r="AD289" i="5" s="1"/>
  <c r="AC264" i="5"/>
  <c r="AE264" i="5" s="1"/>
  <c r="AC446" i="5"/>
  <c r="AD446" i="5" s="1"/>
  <c r="AC117" i="5"/>
  <c r="AS117" i="5" s="1"/>
  <c r="AC97" i="5"/>
  <c r="AD97" i="5" s="1"/>
  <c r="AC105" i="5"/>
  <c r="AE105" i="5" s="1"/>
  <c r="B35" i="2"/>
  <c r="AC376" i="5"/>
  <c r="AD376" i="5" s="1"/>
  <c r="AC508" i="5"/>
  <c r="AE508" i="5" s="1"/>
  <c r="AC184" i="5"/>
  <c r="AD184" i="5" s="1"/>
  <c r="AQ77" i="5"/>
  <c r="AQ457" i="5"/>
  <c r="AR493" i="5"/>
  <c r="AR117" i="5"/>
  <c r="AQ22" i="5"/>
  <c r="AR422" i="5"/>
  <c r="AR20" i="5"/>
  <c r="AR284" i="5"/>
  <c r="AQ360" i="5"/>
  <c r="AR138" i="5"/>
  <c r="AR447" i="5"/>
  <c r="AQ37" i="5"/>
  <c r="AQ142" i="5"/>
  <c r="AQ229" i="5"/>
  <c r="AR233" i="5"/>
  <c r="AR258" i="5"/>
  <c r="AQ525" i="5"/>
  <c r="AQ239" i="5"/>
  <c r="AQ276" i="5"/>
  <c r="AQ42" i="5"/>
  <c r="AQ54" i="5"/>
  <c r="AR144" i="5"/>
  <c r="AR364" i="5"/>
  <c r="AQ219" i="5"/>
  <c r="AR463" i="5"/>
  <c r="K29" i="2"/>
  <c r="K30" i="2" s="1"/>
  <c r="AC463" i="5"/>
  <c r="AE463" i="5" s="1"/>
  <c r="AA445" i="5"/>
  <c r="W37" i="4"/>
  <c r="X37" i="4" s="1"/>
  <c r="AJ37" i="4" s="1"/>
  <c r="AR462" i="5"/>
  <c r="AQ21" i="5"/>
  <c r="AR448" i="5"/>
  <c r="AQ488" i="5"/>
  <c r="AR126" i="5"/>
  <c r="AR495" i="5"/>
  <c r="AR131" i="5"/>
  <c r="R31" i="2"/>
  <c r="S31" i="2" s="1"/>
  <c r="Q31" i="2"/>
  <c r="P31" i="2" s="1"/>
  <c r="AR378" i="5"/>
  <c r="AR255" i="5"/>
  <c r="AQ542" i="5"/>
  <c r="AR194" i="5"/>
  <c r="AQ190" i="5"/>
  <c r="AQ370" i="5"/>
  <c r="AQ257" i="5"/>
  <c r="AA97" i="5"/>
  <c r="AR368" i="5"/>
  <c r="AR45" i="5"/>
  <c r="AR232" i="5"/>
  <c r="AQ545" i="5"/>
  <c r="AR82" i="5"/>
  <c r="AR56" i="5"/>
  <c r="AM117" i="4"/>
  <c r="AN117" i="4" s="1"/>
  <c r="W46" i="4"/>
  <c r="Y46" i="4" s="1"/>
  <c r="Z46" i="4" s="1"/>
  <c r="AF46" i="4" s="1"/>
  <c r="AG46" i="4" s="1"/>
  <c r="AI46" i="4" s="1"/>
  <c r="W145" i="4"/>
  <c r="Y145" i="4" s="1"/>
  <c r="Z145" i="4" s="1"/>
  <c r="AF145" i="4" s="1"/>
  <c r="AA297" i="5"/>
  <c r="AB261" i="5"/>
  <c r="AA363" i="5"/>
  <c r="AC520" i="5"/>
  <c r="AS520" i="5" s="1"/>
  <c r="AC359" i="5"/>
  <c r="AD359" i="5" s="1"/>
  <c r="AB80" i="5"/>
  <c r="AC386" i="5"/>
  <c r="AS386" i="5" s="1"/>
  <c r="AA265" i="5"/>
  <c r="AB447" i="5"/>
  <c r="AB19" i="5"/>
  <c r="AB247" i="5"/>
  <c r="AB208" i="5"/>
  <c r="AB532" i="5"/>
  <c r="AB217" i="5"/>
  <c r="AA27" i="5"/>
  <c r="W20" i="4"/>
  <c r="X20" i="4" s="1"/>
  <c r="AJ20" i="4" s="1"/>
  <c r="AA7" i="5"/>
  <c r="AC265" i="5"/>
  <c r="AE265" i="5" s="1"/>
  <c r="AC540" i="5"/>
  <c r="AE540" i="5" s="1"/>
  <c r="AB529" i="5"/>
  <c r="AA540" i="5"/>
  <c r="AB560" i="5"/>
  <c r="AC470" i="5"/>
  <c r="AE470" i="5" s="1"/>
  <c r="AC460" i="5"/>
  <c r="AS460" i="5" s="1"/>
  <c r="AC138" i="5"/>
  <c r="AE138" i="5" s="1"/>
  <c r="AA550" i="5"/>
  <c r="AB293" i="5"/>
  <c r="AA551" i="5"/>
  <c r="Z115" i="4"/>
  <c r="AF115" i="4" s="1"/>
  <c r="AC31" i="5"/>
  <c r="AE31" i="5" s="1"/>
  <c r="AA26" i="5"/>
  <c r="AM16" i="4"/>
  <c r="AN16" i="4" s="1"/>
  <c r="AB301" i="5"/>
  <c r="AA283" i="5"/>
  <c r="AB254" i="5"/>
  <c r="AA116" i="5"/>
  <c r="AA405" i="5"/>
  <c r="AA142" i="5"/>
  <c r="AB150" i="5"/>
  <c r="AJ157" i="4"/>
  <c r="AM128" i="4"/>
  <c r="AN128" i="4" s="1"/>
  <c r="Z43" i="4"/>
  <c r="AF43" i="4" s="1"/>
  <c r="AO43" i="4" s="1"/>
  <c r="AB169" i="5"/>
  <c r="AB379" i="5"/>
  <c r="AB42" i="5"/>
  <c r="AB196" i="5"/>
  <c r="AB403" i="5"/>
  <c r="AB487" i="5"/>
  <c r="AB189" i="5"/>
  <c r="AA36" i="5"/>
  <c r="AA502" i="5"/>
  <c r="AB537" i="5"/>
  <c r="AA514" i="5"/>
  <c r="AB121" i="5"/>
  <c r="AB151" i="5"/>
  <c r="AA106" i="5"/>
  <c r="AA48" i="5"/>
  <c r="AA53" i="5"/>
  <c r="AM134" i="4"/>
  <c r="AN134" i="4" s="1"/>
  <c r="AA523" i="5"/>
  <c r="AB335" i="5"/>
  <c r="AB390" i="5"/>
  <c r="AA63" i="5"/>
  <c r="AB93" i="5"/>
  <c r="W61" i="4"/>
  <c r="Y61" i="4" s="1"/>
  <c r="Z61" i="4" s="1"/>
  <c r="AF61" i="4" s="1"/>
  <c r="AG61" i="4" s="1"/>
  <c r="AI61" i="4" s="1"/>
  <c r="AB262" i="5"/>
  <c r="AA90" i="5"/>
  <c r="AC277" i="5"/>
  <c r="AE277" i="5" s="1"/>
  <c r="AC306" i="5"/>
  <c r="AE306" i="5" s="1"/>
  <c r="AC38" i="5"/>
  <c r="AS38" i="5" s="1"/>
  <c r="AA263" i="5"/>
  <c r="AB235" i="5"/>
  <c r="AA343" i="5"/>
  <c r="AM56" i="4"/>
  <c r="AN56" i="4" s="1"/>
  <c r="AB331" i="5"/>
  <c r="W15" i="4"/>
  <c r="Y15" i="4" s="1"/>
  <c r="Z15" i="4" s="1"/>
  <c r="AF15" i="4" s="1"/>
  <c r="AA256" i="5"/>
  <c r="AB498" i="5"/>
  <c r="AB298" i="5"/>
  <c r="AC208" i="5"/>
  <c r="AS208" i="5" s="1"/>
  <c r="AC365" i="5"/>
  <c r="AS365" i="5" s="1"/>
  <c r="AC280" i="5"/>
  <c r="AS280" i="5" s="1"/>
  <c r="AC353" i="5"/>
  <c r="AE353" i="5" s="1"/>
  <c r="AC213" i="5"/>
  <c r="AD213" i="5" s="1"/>
  <c r="AC194" i="5"/>
  <c r="AE194" i="5" s="1"/>
  <c r="AA289" i="5"/>
  <c r="AA462" i="5"/>
  <c r="AB202" i="5"/>
  <c r="AA213" i="5"/>
  <c r="AC42" i="5"/>
  <c r="AD42" i="5" s="1"/>
  <c r="AC216" i="5"/>
  <c r="AS216" i="5" s="1"/>
  <c r="AC325" i="5"/>
  <c r="AE325" i="5" s="1"/>
  <c r="AB179" i="5"/>
  <c r="AA495" i="5"/>
  <c r="AC417" i="5"/>
  <c r="AS417" i="5" s="1"/>
  <c r="AC451" i="5"/>
  <c r="AE451" i="5" s="1"/>
  <c r="AC332" i="5"/>
  <c r="AS332" i="5" s="1"/>
  <c r="AB356" i="5"/>
  <c r="AB371" i="5"/>
  <c r="AB359" i="5"/>
  <c r="AB522" i="5"/>
  <c r="AB161" i="5"/>
  <c r="AB309" i="5"/>
  <c r="AA424" i="5"/>
  <c r="AA244" i="5"/>
  <c r="AC361" i="5"/>
  <c r="AE361" i="5" s="1"/>
  <c r="AC425" i="5"/>
  <c r="AD425" i="5" s="1"/>
  <c r="AC297" i="5"/>
  <c r="AD297" i="5" s="1"/>
  <c r="AC333" i="5"/>
  <c r="AS333" i="5" s="1"/>
  <c r="AC244" i="5"/>
  <c r="AE244" i="5" s="1"/>
  <c r="AC532" i="5"/>
  <c r="AD532" i="5" s="1"/>
  <c r="AC552" i="5"/>
  <c r="AD552" i="5" s="1"/>
  <c r="AC294" i="5"/>
  <c r="AS294" i="5" s="1"/>
  <c r="AA442" i="5"/>
  <c r="AA194" i="5"/>
  <c r="AA428" i="5"/>
  <c r="AA333" i="5"/>
  <c r="AC76" i="5"/>
  <c r="AD76" i="5" s="1"/>
  <c r="AC500" i="5"/>
  <c r="AS500" i="5" s="1"/>
  <c r="AC298" i="5"/>
  <c r="AS298" i="5" s="1"/>
  <c r="AC197" i="5"/>
  <c r="AE197" i="5" s="1"/>
  <c r="AC261" i="5"/>
  <c r="AS261" i="5" s="1"/>
  <c r="AA494" i="5"/>
  <c r="AA251" i="5"/>
  <c r="AB25" i="5"/>
  <c r="AB417" i="5"/>
  <c r="AC483" i="5"/>
  <c r="AD483" i="5" s="1"/>
  <c r="AC517" i="5"/>
  <c r="AD517" i="5" s="1"/>
  <c r="AC148" i="5"/>
  <c r="AD148" i="5" s="1"/>
  <c r="AC363" i="5"/>
  <c r="AE363" i="5" s="1"/>
  <c r="AC462" i="5"/>
  <c r="AD462" i="5" s="1"/>
  <c r="AC46" i="5"/>
  <c r="AE46" i="5" s="1"/>
  <c r="AC54" i="5"/>
  <c r="AS54" i="5" s="1"/>
  <c r="AU54" i="5" s="1"/>
  <c r="AC356" i="5"/>
  <c r="AS356" i="5" s="1"/>
  <c r="AC279" i="5"/>
  <c r="AS279" i="5" s="1"/>
  <c r="AC25" i="5"/>
  <c r="AD25" i="5" s="1"/>
  <c r="AB332" i="5"/>
  <c r="AA276" i="5"/>
  <c r="AC495" i="5"/>
  <c r="AS495" i="5" s="1"/>
  <c r="AC309" i="5"/>
  <c r="AD309" i="5" s="1"/>
  <c r="AC494" i="5"/>
  <c r="AD494" i="5" s="1"/>
  <c r="AC314" i="5"/>
  <c r="AD314" i="5" s="1"/>
  <c r="AC422" i="5"/>
  <c r="AS422" i="5" s="1"/>
  <c r="AC202" i="5"/>
  <c r="AS202" i="5" s="1"/>
  <c r="AU202" i="5" s="1"/>
  <c r="AC518" i="5"/>
  <c r="AE518" i="5" s="1"/>
  <c r="AC248" i="5"/>
  <c r="AD248" i="5" s="1"/>
  <c r="AB469" i="5"/>
  <c r="AA221" i="5"/>
  <c r="AB421" i="5"/>
  <c r="AB327" i="5"/>
  <c r="AA475" i="5"/>
  <c r="AB220" i="5"/>
  <c r="AB463" i="5"/>
  <c r="AC478" i="5"/>
  <c r="AE478" i="5" s="1"/>
  <c r="AC366" i="5"/>
  <c r="AE366" i="5" s="1"/>
  <c r="AC327" i="5"/>
  <c r="AE327" i="5" s="1"/>
  <c r="AM43" i="4"/>
  <c r="AN43" i="4" s="1"/>
  <c r="AC180" i="5"/>
  <c r="AS180" i="5" s="1"/>
  <c r="AA149" i="5"/>
  <c r="AB426" i="5"/>
  <c r="AB274" i="5"/>
  <c r="W142" i="4"/>
  <c r="Y142" i="4" s="1"/>
  <c r="Z142" i="4" s="1"/>
  <c r="AB366" i="5"/>
  <c r="AA304" i="5"/>
  <c r="AB94" i="5"/>
  <c r="W57" i="4"/>
  <c r="Y57" i="4" s="1"/>
  <c r="Z57" i="4" s="1"/>
  <c r="AF57" i="4" s="1"/>
  <c r="AC469" i="5"/>
  <c r="AE469" i="5" s="1"/>
  <c r="AC241" i="5"/>
  <c r="AS241" i="5" s="1"/>
  <c r="AC142" i="5"/>
  <c r="AS142" i="5" s="1"/>
  <c r="AC237" i="5"/>
  <c r="AS237" i="5" s="1"/>
  <c r="AC283" i="5"/>
  <c r="AE283" i="5" s="1"/>
  <c r="AC304" i="5"/>
  <c r="AS304" i="5" s="1"/>
  <c r="AC477" i="5"/>
  <c r="AD477" i="5" s="1"/>
  <c r="AB416" i="5"/>
  <c r="AA539" i="5"/>
  <c r="AC267" i="5"/>
  <c r="AE267" i="5" s="1"/>
  <c r="AC220" i="5"/>
  <c r="AD220" i="5" s="1"/>
  <c r="AC482" i="5"/>
  <c r="AS482" i="5" s="1"/>
  <c r="AC122" i="5"/>
  <c r="AD122" i="5" s="1"/>
  <c r="AC22" i="5"/>
  <c r="AD22" i="5" s="1"/>
  <c r="AB133" i="5"/>
  <c r="AA59" i="5"/>
  <c r="AB429" i="5"/>
  <c r="AC341" i="5"/>
  <c r="AS341" i="5" s="1"/>
  <c r="AC101" i="5"/>
  <c r="AS101" i="5" s="1"/>
  <c r="AC374" i="5"/>
  <c r="AE374" i="5" s="1"/>
  <c r="AC165" i="5"/>
  <c r="AS165" i="5" s="1"/>
  <c r="AC504" i="5"/>
  <c r="AE504" i="5" s="1"/>
  <c r="AB351" i="5"/>
  <c r="AC405" i="5"/>
  <c r="AD405" i="5" s="1"/>
  <c r="AC26" i="5"/>
  <c r="AE26" i="5" s="1"/>
  <c r="AC416" i="5"/>
  <c r="AD416" i="5" s="1"/>
  <c r="AC150" i="5"/>
  <c r="AE150" i="5" s="1"/>
  <c r="AA241" i="5"/>
  <c r="AC351" i="5"/>
  <c r="AD351" i="5" s="1"/>
  <c r="AC551" i="5"/>
  <c r="AD551" i="5" s="1"/>
  <c r="AC94" i="5"/>
  <c r="AE94" i="5" s="1"/>
  <c r="AC476" i="5"/>
  <c r="AD476" i="5" s="1"/>
  <c r="AC254" i="5"/>
  <c r="AS254" i="5" s="1"/>
  <c r="AC133" i="5"/>
  <c r="AS133" i="5" s="1"/>
  <c r="AC274" i="5"/>
  <c r="AS274" i="5" s="1"/>
  <c r="AC301" i="5"/>
  <c r="AE301" i="5" s="1"/>
  <c r="AC421" i="5"/>
  <c r="AE421" i="5" s="1"/>
  <c r="AC116" i="5"/>
  <c r="AE116" i="5" s="1"/>
  <c r="AC475" i="5"/>
  <c r="AE475" i="5" s="1"/>
  <c r="AC438" i="5"/>
  <c r="AE438" i="5" s="1"/>
  <c r="AA260" i="5"/>
  <c r="AB546" i="5"/>
  <c r="AB545" i="5"/>
  <c r="AC222" i="5"/>
  <c r="AD222" i="5" s="1"/>
  <c r="AC434" i="5"/>
  <c r="AS434" i="5" s="1"/>
  <c r="AC158" i="5"/>
  <c r="AE158" i="5" s="1"/>
  <c r="AC360" i="5"/>
  <c r="AE360" i="5" s="1"/>
  <c r="AC496" i="5"/>
  <c r="AD496" i="5" s="1"/>
  <c r="AC232" i="5"/>
  <c r="AS232" i="5" s="1"/>
  <c r="AA222" i="5"/>
  <c r="AB132" i="5"/>
  <c r="AB360" i="5"/>
  <c r="AA137" i="5"/>
  <c r="AB368" i="5"/>
  <c r="AB174" i="5"/>
  <c r="AC50" i="5"/>
  <c r="AE50" i="5" s="1"/>
  <c r="AC200" i="5"/>
  <c r="AD200" i="5" s="1"/>
  <c r="AC132" i="5"/>
  <c r="AE132" i="5" s="1"/>
  <c r="AB278" i="5"/>
  <c r="AC59" i="5"/>
  <c r="AS59" i="5" s="1"/>
  <c r="AA376" i="5"/>
  <c r="AB31" i="5"/>
  <c r="AA499" i="5"/>
  <c r="W125" i="4"/>
  <c r="Y125" i="4" s="1"/>
  <c r="Z125" i="4" s="1"/>
  <c r="W14" i="4"/>
  <c r="Y14" i="4" s="1"/>
  <c r="Z14" i="4" s="1"/>
  <c r="AC174" i="5"/>
  <c r="AE174" i="5" s="1"/>
  <c r="AC238" i="5"/>
  <c r="AE238" i="5" s="1"/>
  <c r="AC137" i="5"/>
  <c r="AD137" i="5" s="1"/>
  <c r="AC114" i="5"/>
  <c r="AE114" i="5" s="1"/>
  <c r="AC354" i="5"/>
  <c r="AD354" i="5" s="1"/>
  <c r="AC168" i="5"/>
  <c r="AE168" i="5" s="1"/>
  <c r="AA168" i="5"/>
  <c r="AA50" i="5"/>
  <c r="AA114" i="5"/>
  <c r="AA438" i="5"/>
  <c r="AC58" i="5"/>
  <c r="AD58" i="5" s="1"/>
  <c r="AC120" i="5"/>
  <c r="AD120" i="5" s="1"/>
  <c r="AC140" i="5"/>
  <c r="AD140" i="5" s="1"/>
  <c r="AA543" i="5"/>
  <c r="AB354" i="5"/>
  <c r="AA160" i="5"/>
  <c r="AB452" i="5"/>
  <c r="AB259" i="5"/>
  <c r="AA140" i="5"/>
  <c r="AC278" i="5"/>
  <c r="AS278" i="5" s="1"/>
  <c r="AU278" i="5" s="1"/>
  <c r="AC556" i="5"/>
  <c r="AE556" i="5" s="1"/>
  <c r="AC259" i="5"/>
  <c r="AE259" i="5" s="1"/>
  <c r="AC295" i="5"/>
  <c r="AE295" i="5" s="1"/>
  <c r="AC479" i="5"/>
  <c r="AS479" i="5" s="1"/>
  <c r="AC68" i="5"/>
  <c r="AD68" i="5" s="1"/>
  <c r="AC262" i="5"/>
  <c r="AS262" i="5" s="1"/>
  <c r="AC21" i="5"/>
  <c r="AE21" i="5" s="1"/>
  <c r="AC260" i="5"/>
  <c r="AS260" i="5" s="1"/>
  <c r="AC511" i="5"/>
  <c r="AE511" i="5" s="1"/>
  <c r="AC65" i="5"/>
  <c r="AD65" i="5" s="1"/>
  <c r="AC343" i="5"/>
  <c r="AS343" i="5" s="1"/>
  <c r="AC243" i="5"/>
  <c r="AD243" i="5" s="1"/>
  <c r="AC73" i="5"/>
  <c r="AE73" i="5" s="1"/>
  <c r="AC502" i="5"/>
  <c r="AD502" i="5" s="1"/>
  <c r="AC543" i="5"/>
  <c r="AS543" i="5" s="1"/>
  <c r="AC440" i="5"/>
  <c r="AE440" i="5" s="1"/>
  <c r="AC452" i="5"/>
  <c r="AE452" i="5" s="1"/>
  <c r="AC499" i="5"/>
  <c r="AS499" i="5" s="1"/>
  <c r="AC36" i="5"/>
  <c r="AD36" i="5" s="1"/>
  <c r="AB49" i="5"/>
  <c r="AC155" i="5"/>
  <c r="AE155" i="5" s="1"/>
  <c r="AC217" i="5"/>
  <c r="AE217" i="5" s="1"/>
  <c r="AC188" i="5"/>
  <c r="AD188" i="5" s="1"/>
  <c r="AC390" i="5"/>
  <c r="AD390" i="5" s="1"/>
  <c r="AC226" i="5"/>
  <c r="AE226" i="5" s="1"/>
  <c r="AC173" i="5"/>
  <c r="AS173" i="5" s="1"/>
  <c r="AC106" i="5"/>
  <c r="AD106" i="5" s="1"/>
  <c r="AC514" i="5"/>
  <c r="AE514" i="5" s="1"/>
  <c r="AC27" i="5"/>
  <c r="AE27" i="5" s="1"/>
  <c r="AC40" i="5"/>
  <c r="AS40" i="5" s="1"/>
  <c r="AC223" i="5"/>
  <c r="AS223" i="5" s="1"/>
  <c r="AC181" i="5"/>
  <c r="AS181" i="5" s="1"/>
  <c r="AC151" i="5"/>
  <c r="AS151" i="5" s="1"/>
  <c r="AC399" i="5"/>
  <c r="AS399" i="5" s="1"/>
  <c r="AC310" i="5"/>
  <c r="AE310" i="5" s="1"/>
  <c r="AC345" i="5"/>
  <c r="AE345" i="5" s="1"/>
  <c r="AC505" i="5"/>
  <c r="AD505" i="5" s="1"/>
  <c r="AA223" i="5"/>
  <c r="AA188" i="5"/>
  <c r="AB431" i="5"/>
  <c r="AB181" i="5"/>
  <c r="AA275" i="5"/>
  <c r="AC127" i="5"/>
  <c r="AS127" i="5" s="1"/>
  <c r="AU127" i="5" s="1"/>
  <c r="AC136" i="5"/>
  <c r="AS136" i="5" s="1"/>
  <c r="AC126" i="5"/>
  <c r="AE126" i="5" s="1"/>
  <c r="AC544" i="5"/>
  <c r="AS544" i="5" s="1"/>
  <c r="AC48" i="5"/>
  <c r="AE48" i="5" s="1"/>
  <c r="AC275" i="5"/>
  <c r="AS275" i="5" s="1"/>
  <c r="AC112" i="5"/>
  <c r="AS112" i="5" s="1"/>
  <c r="AC473" i="5"/>
  <c r="AD473" i="5" s="1"/>
  <c r="AC143" i="5"/>
  <c r="AD143" i="5" s="1"/>
  <c r="AC104" i="5"/>
  <c r="AE104" i="5" s="1"/>
  <c r="AA544" i="5"/>
  <c r="AA119" i="5"/>
  <c r="AB166" i="5"/>
  <c r="AC335" i="5"/>
  <c r="AE335" i="5" s="1"/>
  <c r="AC245" i="5"/>
  <c r="AE245" i="5" s="1"/>
  <c r="AC214" i="5"/>
  <c r="AD214" i="5" s="1"/>
  <c r="AC342" i="5"/>
  <c r="AS342" i="5" s="1"/>
  <c r="AB226" i="5"/>
  <c r="AB112" i="5"/>
  <c r="AB430" i="5"/>
  <c r="AC349" i="5"/>
  <c r="AD349" i="5" s="1"/>
  <c r="AC383" i="5"/>
  <c r="AE383" i="5" s="1"/>
  <c r="AC466" i="5"/>
  <c r="AE466" i="5" s="1"/>
  <c r="AC119" i="5"/>
  <c r="AE119" i="5" s="1"/>
  <c r="AC12" i="5"/>
  <c r="AD12" i="5" s="1"/>
  <c r="AB103" i="5"/>
  <c r="AC350" i="5"/>
  <c r="AE350" i="5" s="1"/>
  <c r="AC24" i="5"/>
  <c r="AD24" i="5" s="1"/>
  <c r="AC378" i="5"/>
  <c r="AD378" i="5" s="1"/>
  <c r="AC492" i="5"/>
  <c r="AE492" i="5" s="1"/>
  <c r="AC210" i="5"/>
  <c r="AD210" i="5" s="1"/>
  <c r="AA303" i="5"/>
  <c r="AB91" i="5"/>
  <c r="W66" i="4"/>
  <c r="Y66" i="4" s="1"/>
  <c r="Z66" i="4" s="1"/>
  <c r="AC111" i="5"/>
  <c r="AD111" i="5" s="1"/>
  <c r="AC239" i="5"/>
  <c r="AE239" i="5" s="1"/>
  <c r="AC32" i="5"/>
  <c r="AE32" i="5" s="1"/>
  <c r="AA64" i="5"/>
  <c r="AA387" i="5"/>
  <c r="AC55" i="5"/>
  <c r="AE55" i="5" s="1"/>
  <c r="AC77" i="5"/>
  <c r="AE77" i="5" s="1"/>
  <c r="AC113" i="5"/>
  <c r="AD113" i="5" s="1"/>
  <c r="AC369" i="5"/>
  <c r="AE369" i="5" s="1"/>
  <c r="AA404" i="5"/>
  <c r="AB86" i="5"/>
  <c r="AA55" i="5"/>
  <c r="AB203" i="5"/>
  <c r="AC269" i="5"/>
  <c r="AS269" i="5" s="1"/>
  <c r="AC468" i="5"/>
  <c r="AD468" i="5" s="1"/>
  <c r="AB436" i="5"/>
  <c r="AA32" i="5"/>
  <c r="AA111" i="5"/>
  <c r="AC303" i="5"/>
  <c r="AS303" i="5" s="1"/>
  <c r="AC49" i="5"/>
  <c r="AD49" i="5" s="1"/>
  <c r="AC103" i="5"/>
  <c r="AD103" i="5" s="1"/>
  <c r="AC404" i="5"/>
  <c r="AD404" i="5" s="1"/>
  <c r="AA321" i="5"/>
  <c r="AC166" i="5"/>
  <c r="AD166" i="5" s="1"/>
  <c r="AB105" i="5"/>
  <c r="AA296" i="5"/>
  <c r="AA175" i="5"/>
  <c r="AC441" i="5"/>
  <c r="AE441" i="5" s="1"/>
  <c r="AC62" i="5"/>
  <c r="AD62" i="5" s="1"/>
  <c r="AC536" i="5"/>
  <c r="AS536" i="5" s="1"/>
  <c r="AC83" i="5"/>
  <c r="AS83" i="5" s="1"/>
  <c r="AC75" i="5"/>
  <c r="AD75" i="5" s="1"/>
  <c r="AC385" i="5"/>
  <c r="AE385" i="5" s="1"/>
  <c r="AA375" i="5"/>
  <c r="AA329" i="5"/>
  <c r="AA336" i="5"/>
  <c r="AA402" i="5"/>
  <c r="AB401" i="5"/>
  <c r="AA441" i="5"/>
  <c r="AB525" i="5"/>
  <c r="AC515" i="5"/>
  <c r="AS515" i="5" s="1"/>
  <c r="AC189" i="5"/>
  <c r="AS189" i="5" s="1"/>
  <c r="AC313" i="5"/>
  <c r="AD313" i="5" s="1"/>
  <c r="AC203" i="5"/>
  <c r="AS203" i="5" s="1"/>
  <c r="AC472" i="5"/>
  <c r="AE472" i="5" s="1"/>
  <c r="AC186" i="5"/>
  <c r="AD186" i="5" s="1"/>
  <c r="AC134" i="5"/>
  <c r="AE134" i="5" s="1"/>
  <c r="AB396" i="5"/>
  <c r="AA236" i="5"/>
  <c r="AA313" i="5"/>
  <c r="AA205" i="5"/>
  <c r="AB472" i="5"/>
  <c r="AB453" i="5"/>
  <c r="AC403" i="5"/>
  <c r="AD403" i="5" s="1"/>
  <c r="AC541" i="5"/>
  <c r="AD541" i="5" s="1"/>
  <c r="AC300" i="5"/>
  <c r="AD300" i="5" s="1"/>
  <c r="AC34" i="5"/>
  <c r="AS34" i="5" s="1"/>
  <c r="AC44" i="5"/>
  <c r="AD44" i="5" s="1"/>
  <c r="AA62" i="5"/>
  <c r="AA392" i="5"/>
  <c r="AC401" i="5"/>
  <c r="AE401" i="5" s="1"/>
  <c r="AC229" i="5"/>
  <c r="AD229" i="5" s="1"/>
  <c r="AC427" i="5"/>
  <c r="AS427" i="5" s="1"/>
  <c r="AB456" i="5"/>
  <c r="AB171" i="5"/>
  <c r="Y73" i="4"/>
  <c r="Z73" i="4" s="1"/>
  <c r="AA73" i="4" s="1"/>
  <c r="AC73" i="4" s="1"/>
  <c r="AD73" i="4" s="1"/>
  <c r="AC455" i="5"/>
  <c r="AD455" i="5" s="1"/>
  <c r="AC456" i="5"/>
  <c r="AS456" i="5" s="1"/>
  <c r="AC205" i="5"/>
  <c r="AD205" i="5" s="1"/>
  <c r="AC218" i="5"/>
  <c r="AE218" i="5" s="1"/>
  <c r="AC395" i="5"/>
  <c r="AS395" i="5" s="1"/>
  <c r="AC128" i="5"/>
  <c r="AD128" i="5" s="1"/>
  <c r="AC375" i="5"/>
  <c r="AD375" i="5" s="1"/>
  <c r="AE73" i="4"/>
  <c r="AA455" i="5"/>
  <c r="AA60" i="5"/>
  <c r="AB8" i="5"/>
  <c r="AA382" i="5"/>
  <c r="AC329" i="5"/>
  <c r="AS329" i="5" s="1"/>
  <c r="AC302" i="5"/>
  <c r="AE302" i="5" s="1"/>
  <c r="AC171" i="5"/>
  <c r="AS171" i="5" s="1"/>
  <c r="AC450" i="5"/>
  <c r="AS450" i="5" s="1"/>
  <c r="AC336" i="5"/>
  <c r="AD336" i="5" s="1"/>
  <c r="AC60" i="5"/>
  <c r="AD60" i="5" s="1"/>
  <c r="AC381" i="5"/>
  <c r="AS381" i="5" s="1"/>
  <c r="AC236" i="5"/>
  <c r="AE236" i="5" s="1"/>
  <c r="AC402" i="5"/>
  <c r="AD402" i="5" s="1"/>
  <c r="AC145" i="5"/>
  <c r="AD145" i="5" s="1"/>
  <c r="AC433" i="5"/>
  <c r="AS433" i="5" s="1"/>
  <c r="AC453" i="5"/>
  <c r="AE453" i="5" s="1"/>
  <c r="AC382" i="5"/>
  <c r="AD382" i="5" s="1"/>
  <c r="W135" i="4"/>
  <c r="Y135" i="4" s="1"/>
  <c r="Z135" i="4" s="1"/>
  <c r="AN11" i="5"/>
  <c r="AC125" i="5"/>
  <c r="AS125" i="5" s="1"/>
  <c r="AC513" i="5"/>
  <c r="AE513" i="5" s="1"/>
  <c r="AC377" i="5"/>
  <c r="AD377" i="5" s="1"/>
  <c r="AC29" i="5"/>
  <c r="AE29" i="5" s="1"/>
  <c r="AC129" i="5"/>
  <c r="AD129" i="5" s="1"/>
  <c r="AC69" i="5"/>
  <c r="AS69" i="5" s="1"/>
  <c r="AC193" i="5"/>
  <c r="AE193" i="5" s="1"/>
  <c r="AC486" i="5"/>
  <c r="AE486" i="5" s="1"/>
  <c r="AC398" i="5"/>
  <c r="AE398" i="5" s="1"/>
  <c r="AA294" i="5"/>
  <c r="AA69" i="5"/>
  <c r="AA486" i="5"/>
  <c r="AA70" i="5"/>
  <c r="AA548" i="5"/>
  <c r="AC70" i="5"/>
  <c r="AS70" i="5" s="1"/>
  <c r="AC251" i="5"/>
  <c r="AS251" i="5" s="1"/>
  <c r="AC228" i="5"/>
  <c r="AE228" i="5" s="1"/>
  <c r="AC285" i="5"/>
  <c r="AD285" i="5" s="1"/>
  <c r="AC110" i="5"/>
  <c r="AE110" i="5" s="1"/>
  <c r="AC43" i="5"/>
  <c r="AS43" i="5" s="1"/>
  <c r="AB400" i="5"/>
  <c r="AB533" i="5"/>
  <c r="AB513" i="5"/>
  <c r="AB509" i="5"/>
  <c r="AB228" i="5"/>
  <c r="AA29" i="5"/>
  <c r="AM33" i="4"/>
  <c r="AN33" i="4" s="1"/>
  <c r="AC179" i="5"/>
  <c r="AE179" i="5" s="1"/>
  <c r="AC394" i="5"/>
  <c r="AD394" i="5" s="1"/>
  <c r="AC481" i="5"/>
  <c r="AS481" i="5" s="1"/>
  <c r="AC533" i="5"/>
  <c r="AD533" i="5" s="1"/>
  <c r="AC424" i="5"/>
  <c r="AS424" i="5" s="1"/>
  <c r="AC268" i="5"/>
  <c r="AS268" i="5" s="1"/>
  <c r="AC270" i="5"/>
  <c r="AE270" i="5" s="1"/>
  <c r="AB255" i="5"/>
  <c r="AA129" i="5"/>
  <c r="AA394" i="5"/>
  <c r="AB270" i="5"/>
  <c r="AB425" i="5"/>
  <c r="AB491" i="5"/>
  <c r="AH18" i="4"/>
  <c r="AC444" i="5"/>
  <c r="AE444" i="5" s="1"/>
  <c r="AC555" i="5"/>
  <c r="AD555" i="5" s="1"/>
  <c r="AC338" i="5"/>
  <c r="AS338" i="5" s="1"/>
  <c r="AC163" i="5"/>
  <c r="AD163" i="5" s="1"/>
  <c r="AB163" i="5"/>
  <c r="AA157" i="5"/>
  <c r="AC99" i="5"/>
  <c r="AD99" i="5" s="1"/>
  <c r="AC255" i="5"/>
  <c r="AE255" i="5" s="1"/>
  <c r="AC553" i="5"/>
  <c r="AS553" i="5" s="1"/>
  <c r="AC388" i="5"/>
  <c r="AE388" i="5" s="1"/>
  <c r="AC247" i="5"/>
  <c r="AD247" i="5" s="1"/>
  <c r="AC93" i="5"/>
  <c r="AE93" i="5" s="1"/>
  <c r="W12" i="4"/>
  <c r="AE12" i="4" s="1"/>
  <c r="AC509" i="5"/>
  <c r="AD509" i="5" s="1"/>
  <c r="AC157" i="5"/>
  <c r="AD157" i="5" s="1"/>
  <c r="AC90" i="5"/>
  <c r="AE90" i="5" s="1"/>
  <c r="AC153" i="5"/>
  <c r="AD153" i="5" s="1"/>
  <c r="AC35" i="5"/>
  <c r="AD35" i="5" s="1"/>
  <c r="AC548" i="5"/>
  <c r="AE548" i="5" s="1"/>
  <c r="AC53" i="5"/>
  <c r="AE53" i="5" s="1"/>
  <c r="AA43" i="5"/>
  <c r="AA125" i="5"/>
  <c r="AC257" i="5"/>
  <c r="AS257" i="5" s="1"/>
  <c r="AT257" i="5" s="1"/>
  <c r="AC331" i="5"/>
  <c r="AS331" i="5" s="1"/>
  <c r="AC178" i="5"/>
  <c r="AD178" i="5" s="1"/>
  <c r="AC498" i="5"/>
  <c r="AS498" i="5" s="1"/>
  <c r="AC491" i="5"/>
  <c r="AS491" i="5" s="1"/>
  <c r="AC362" i="5"/>
  <c r="AS362" i="5" s="1"/>
  <c r="AC400" i="5"/>
  <c r="AE400" i="5" s="1"/>
  <c r="AC67" i="5"/>
  <c r="AE67" i="5" s="1"/>
  <c r="AC33" i="5"/>
  <c r="AS33" i="5" s="1"/>
  <c r="AC428" i="5"/>
  <c r="AE428" i="5" s="1"/>
  <c r="AC263" i="5"/>
  <c r="AD263" i="5" s="1"/>
  <c r="AB380" i="5"/>
  <c r="AA501" i="5"/>
  <c r="AB471" i="5"/>
  <c r="AB320" i="5"/>
  <c r="AA306" i="5"/>
  <c r="AC141" i="5"/>
  <c r="AD141" i="5" s="1"/>
  <c r="AC198" i="5"/>
  <c r="AD198" i="5" s="1"/>
  <c r="AC183" i="5"/>
  <c r="AS183" i="5" s="1"/>
  <c r="AC465" i="5"/>
  <c r="AS465" i="5" s="1"/>
  <c r="AA118" i="5"/>
  <c r="AB209" i="5"/>
  <c r="AA435" i="5"/>
  <c r="AC82" i="5"/>
  <c r="AE82" i="5" s="1"/>
  <c r="AC253" i="5"/>
  <c r="AS253" i="5" s="1"/>
  <c r="AC380" i="5"/>
  <c r="AS380" i="5" s="1"/>
  <c r="AC291" i="5"/>
  <c r="AE291" i="5" s="1"/>
  <c r="AC209" i="5"/>
  <c r="AD209" i="5" s="1"/>
  <c r="AC293" i="5"/>
  <c r="AE293" i="5" s="1"/>
  <c r="AC560" i="5"/>
  <c r="AE560" i="5" s="1"/>
  <c r="AC384" i="5"/>
  <c r="AD384" i="5" s="1"/>
  <c r="AC175" i="5"/>
  <c r="AS175" i="5" s="1"/>
  <c r="AT175" i="5" s="1"/>
  <c r="AC296" i="5"/>
  <c r="AS296" i="5" s="1"/>
  <c r="AC318" i="5"/>
  <c r="AD318" i="5" s="1"/>
  <c r="AC413" i="5"/>
  <c r="AS413" i="5" s="1"/>
  <c r="AB348" i="5"/>
  <c r="AA108" i="5"/>
  <c r="AC199" i="5"/>
  <c r="AD199" i="5" s="1"/>
  <c r="AA100" i="5"/>
  <c r="AC7" i="5"/>
  <c r="AS7" i="5" s="1"/>
  <c r="AC147" i="5"/>
  <c r="AS147" i="5" s="1"/>
  <c r="AU147" i="5" s="1"/>
  <c r="AC471" i="5"/>
  <c r="AS471" i="5" s="1"/>
  <c r="AC348" i="5"/>
  <c r="AS348" i="5" s="1"/>
  <c r="AC339" i="5"/>
  <c r="AS339" i="5" s="1"/>
  <c r="AC19" i="5"/>
  <c r="AD19" i="5" s="1"/>
  <c r="AC219" i="5"/>
  <c r="AE219" i="5" s="1"/>
  <c r="AC501" i="5"/>
  <c r="AD501" i="5" s="1"/>
  <c r="AC316" i="5"/>
  <c r="AE316" i="5" s="1"/>
  <c r="AB291" i="5"/>
  <c r="AA231" i="5"/>
  <c r="AB460" i="5"/>
  <c r="AA82" i="5"/>
  <c r="AA199" i="5"/>
  <c r="AB521" i="5"/>
  <c r="AA470" i="5"/>
  <c r="AC437" i="5"/>
  <c r="AD437" i="5" s="1"/>
  <c r="AC108" i="5"/>
  <c r="AD108" i="5" s="1"/>
  <c r="AC308" i="5"/>
  <c r="AD308" i="5" s="1"/>
  <c r="AC406" i="5"/>
  <c r="AD406" i="5" s="1"/>
  <c r="AC447" i="5"/>
  <c r="AD447" i="5" s="1"/>
  <c r="AC344" i="5"/>
  <c r="AD344" i="5" s="1"/>
  <c r="AC231" i="5"/>
  <c r="AD231" i="5" s="1"/>
  <c r="AC78" i="5"/>
  <c r="AS78" i="5" s="1"/>
  <c r="AT78" i="5" s="1"/>
  <c r="AB92" i="5"/>
  <c r="AC529" i="5"/>
  <c r="AE529" i="5" s="1"/>
  <c r="AC521" i="5"/>
  <c r="AS521" i="5" s="1"/>
  <c r="AC320" i="5"/>
  <c r="AE320" i="5" s="1"/>
  <c r="AC411" i="5"/>
  <c r="AE411" i="5" s="1"/>
  <c r="AC115" i="5"/>
  <c r="AD115" i="5" s="1"/>
  <c r="AM115" i="4"/>
  <c r="AN115" i="4" s="1"/>
  <c r="AM26" i="4"/>
  <c r="AN26" i="4" s="1"/>
  <c r="W26" i="4"/>
  <c r="AA409" i="5"/>
  <c r="AA414" i="5"/>
  <c r="AC321" i="5"/>
  <c r="AD321" i="5" s="1"/>
  <c r="AC410" i="5"/>
  <c r="AE410" i="5" s="1"/>
  <c r="AC480" i="5"/>
  <c r="AD480" i="5" s="1"/>
  <c r="AC135" i="5"/>
  <c r="AS135" i="5" s="1"/>
  <c r="AC420" i="5"/>
  <c r="AD420" i="5" s="1"/>
  <c r="AC559" i="5"/>
  <c r="AD559" i="5" s="1"/>
  <c r="AC436" i="5"/>
  <c r="AS436" i="5" s="1"/>
  <c r="AA66" i="5"/>
  <c r="AC182" i="5"/>
  <c r="AS182" i="5" s="1"/>
  <c r="AT182" i="5" s="1"/>
  <c r="AC20" i="5"/>
  <c r="AD20" i="5" s="1"/>
  <c r="AC45" i="5"/>
  <c r="AE45" i="5" s="1"/>
  <c r="AC201" i="5"/>
  <c r="AD201" i="5" s="1"/>
  <c r="AC102" i="5"/>
  <c r="AD102" i="5" s="1"/>
  <c r="AC323" i="5"/>
  <c r="AD323" i="5" s="1"/>
  <c r="AC66" i="5"/>
  <c r="AE66" i="5" s="1"/>
  <c r="AC528" i="5"/>
  <c r="AE528" i="5" s="1"/>
  <c r="AA369" i="5"/>
  <c r="AA317" i="5"/>
  <c r="AA410" i="5"/>
  <c r="AC204" i="5"/>
  <c r="AE204" i="5" s="1"/>
  <c r="AC506" i="5"/>
  <c r="AS506" i="5" s="1"/>
  <c r="AC409" i="5"/>
  <c r="AE409" i="5" s="1"/>
  <c r="AA282" i="5"/>
  <c r="AA506" i="5"/>
  <c r="AB135" i="5"/>
  <c r="AA201" i="5"/>
  <c r="AC272" i="5"/>
  <c r="AE272" i="5" s="1"/>
  <c r="AC414" i="5"/>
  <c r="AE414" i="5" s="1"/>
  <c r="AC81" i="5"/>
  <c r="AS81" i="5" s="1"/>
  <c r="AU81" i="5" s="1"/>
  <c r="AC387" i="5"/>
  <c r="AD387" i="5" s="1"/>
  <c r="AC266" i="5"/>
  <c r="AS266" i="5" s="1"/>
  <c r="AC282" i="5"/>
  <c r="AS282" i="5" s="1"/>
  <c r="AC72" i="5"/>
  <c r="AS72" i="5" s="1"/>
  <c r="AU72" i="5" s="1"/>
  <c r="AC558" i="5"/>
  <c r="AD558" i="5" s="1"/>
  <c r="AC317" i="5"/>
  <c r="AS317" i="5" s="1"/>
  <c r="AC240" i="5"/>
  <c r="AD240" i="5" s="1"/>
  <c r="AL11" i="5"/>
  <c r="AE96" i="4"/>
  <c r="X96" i="4"/>
  <c r="AJ96" i="4" s="1"/>
  <c r="AJ77" i="4"/>
  <c r="AO9" i="5"/>
  <c r="W39" i="4"/>
  <c r="X39" i="4" s="1"/>
  <c r="AJ39" i="4" s="1"/>
  <c r="W72" i="4"/>
  <c r="Y72" i="4" s="1"/>
  <c r="Z72" i="4" s="1"/>
  <c r="AF72" i="4" s="1"/>
  <c r="AG72" i="4" s="1"/>
  <c r="AI72" i="4" s="1"/>
  <c r="W22" i="4"/>
  <c r="X22" i="4" s="1"/>
  <c r="AJ22" i="4" s="1"/>
  <c r="AE140" i="4"/>
  <c r="X140" i="4"/>
  <c r="AJ140" i="4" s="1"/>
  <c r="W109" i="4"/>
  <c r="X109" i="4" s="1"/>
  <c r="AJ109" i="4" s="1"/>
  <c r="Z42" i="4"/>
  <c r="AF42" i="4" s="1"/>
  <c r="W129" i="4"/>
  <c r="Y129" i="4" s="1"/>
  <c r="Z129" i="4" s="1"/>
  <c r="AF129" i="4" s="1"/>
  <c r="AP9" i="5"/>
  <c r="AR9" i="5" s="1"/>
  <c r="W148" i="4"/>
  <c r="X148" i="4" s="1"/>
  <c r="AJ148" i="4" s="1"/>
  <c r="AP11" i="5"/>
  <c r="AQ11" i="5" s="1"/>
  <c r="AM121" i="4"/>
  <c r="AN121" i="4" s="1"/>
  <c r="W67" i="4"/>
  <c r="Y67" i="4" s="1"/>
  <c r="Z67" i="4" s="1"/>
  <c r="AM59" i="4"/>
  <c r="AN59" i="4" s="1"/>
  <c r="W59" i="4"/>
  <c r="X59" i="4" s="1"/>
  <c r="AJ59" i="4" s="1"/>
  <c r="AM132" i="4"/>
  <c r="AN132" i="4" s="1"/>
  <c r="W132" i="4"/>
  <c r="AM83" i="4"/>
  <c r="AN83" i="4" s="1"/>
  <c r="W83" i="4"/>
  <c r="AM141" i="4"/>
  <c r="AN141" i="4" s="1"/>
  <c r="W141" i="4"/>
  <c r="AM62" i="4"/>
  <c r="AN62" i="4" s="1"/>
  <c r="W62" i="4"/>
  <c r="AM21" i="4"/>
  <c r="AN21" i="4" s="1"/>
  <c r="W21" i="4"/>
  <c r="AN84" i="4"/>
  <c r="AM79" i="4"/>
  <c r="AN79" i="4" s="1"/>
  <c r="W79" i="4"/>
  <c r="Y79" i="4" s="1"/>
  <c r="Z79" i="4" s="1"/>
  <c r="W24" i="4"/>
  <c r="AM24" i="4"/>
  <c r="AN24" i="4" s="1"/>
  <c r="X105" i="4"/>
  <c r="AJ105" i="4" s="1"/>
  <c r="Y105" i="4"/>
  <c r="Z105" i="4" s="1"/>
  <c r="AE105" i="4"/>
  <c r="AH105" i="4"/>
  <c r="AM133" i="4"/>
  <c r="AN133" i="4" s="1"/>
  <c r="W133" i="4"/>
  <c r="W155" i="4"/>
  <c r="AE155" i="4" s="1"/>
  <c r="AM155" i="4"/>
  <c r="AN155" i="4" s="1"/>
  <c r="AM101" i="4"/>
  <c r="AN101" i="4" s="1"/>
  <c r="W101" i="4"/>
  <c r="AM34" i="4"/>
  <c r="AN34" i="4" s="1"/>
  <c r="W34" i="4"/>
  <c r="AM130" i="4"/>
  <c r="AN130" i="4" s="1"/>
  <c r="W130" i="4"/>
  <c r="Z140" i="4"/>
  <c r="AN143" i="4"/>
  <c r="AM144" i="4"/>
  <c r="AN144" i="4" s="1"/>
  <c r="W144" i="4"/>
  <c r="AN140" i="4"/>
  <c r="W152" i="4"/>
  <c r="Y152" i="4" s="1"/>
  <c r="Z152" i="4" s="1"/>
  <c r="W94" i="4"/>
  <c r="AE94" i="4" s="1"/>
  <c r="AM94" i="4"/>
  <c r="AN94" i="4" s="1"/>
  <c r="AM58" i="4"/>
  <c r="AN58" i="4" s="1"/>
  <c r="W58" i="4"/>
  <c r="AH155" i="4"/>
  <c r="AM10" i="4"/>
  <c r="AN10" i="4" s="1"/>
  <c r="W10" i="4"/>
  <c r="AE143" i="4"/>
  <c r="R9" i="5"/>
  <c r="S9" i="5"/>
  <c r="X84" i="4"/>
  <c r="AJ84" i="4" s="1"/>
  <c r="AE84" i="4"/>
  <c r="Y84" i="4"/>
  <c r="Z84" i="4" s="1"/>
  <c r="AI9" i="5"/>
  <c r="AH9" i="5"/>
  <c r="V9" i="5"/>
  <c r="U9" i="5"/>
  <c r="Y9" i="5"/>
  <c r="X9" i="5"/>
  <c r="AF143" i="4"/>
  <c r="X143" i="4"/>
  <c r="AJ143" i="4" s="1"/>
  <c r="AA11" i="5"/>
  <c r="AI11" i="5"/>
  <c r="AH11" i="5"/>
  <c r="S11" i="5"/>
  <c r="R11" i="5"/>
  <c r="X11" i="5"/>
  <c r="Y11" i="5"/>
  <c r="AR327" i="5"/>
  <c r="AR436" i="5"/>
  <c r="AQ438" i="5"/>
  <c r="AQ420" i="5"/>
  <c r="AR381" i="5"/>
  <c r="AQ392" i="5"/>
  <c r="AR261" i="5"/>
  <c r="AR531" i="5"/>
  <c r="AQ259" i="5"/>
  <c r="AR103" i="5"/>
  <c r="AR533" i="5"/>
  <c r="AR274" i="5"/>
  <c r="AQ66" i="5"/>
  <c r="AR474" i="5"/>
  <c r="AQ140" i="5"/>
  <c r="AQ101" i="5"/>
  <c r="AQ487" i="5"/>
  <c r="AR278" i="5"/>
  <c r="AR337" i="5"/>
  <c r="AQ143" i="5"/>
  <c r="AR397" i="5"/>
  <c r="AR226" i="5"/>
  <c r="AR296" i="5"/>
  <c r="AE122" i="4"/>
  <c r="AB128" i="5"/>
  <c r="AA180" i="5"/>
  <c r="AA361" i="5"/>
  <c r="AA338" i="5"/>
  <c r="AB353" i="5"/>
  <c r="AC315" i="5"/>
  <c r="AE315" i="5" s="1"/>
  <c r="AA267" i="5"/>
  <c r="AA253" i="5"/>
  <c r="AB362" i="5"/>
  <c r="AC396" i="5"/>
  <c r="AE396" i="5" s="1"/>
  <c r="AA318" i="5"/>
  <c r="AB511" i="5"/>
  <c r="AC539" i="5"/>
  <c r="AD539" i="5" s="1"/>
  <c r="AB465" i="5"/>
  <c r="AC430" i="5"/>
  <c r="AD430" i="5" s="1"/>
  <c r="AA346" i="5"/>
  <c r="AA281" i="5"/>
  <c r="AC8" i="5"/>
  <c r="AE8" i="5" s="1"/>
  <c r="AA158" i="5"/>
  <c r="AB357" i="5"/>
  <c r="AC290" i="5"/>
  <c r="AS290" i="5" s="1"/>
  <c r="AC305" i="5"/>
  <c r="AS305" i="5" s="1"/>
  <c r="AB206" i="5"/>
  <c r="AB440" i="5"/>
  <c r="AC292" i="5"/>
  <c r="AD292" i="5" s="1"/>
  <c r="AB65" i="5"/>
  <c r="AB214" i="5"/>
  <c r="AB101" i="5"/>
  <c r="AB326" i="5"/>
  <c r="AB253" i="5"/>
  <c r="AB287" i="5"/>
  <c r="AA465" i="5"/>
  <c r="AA295" i="5"/>
  <c r="AC346" i="5"/>
  <c r="AD346" i="5" s="1"/>
  <c r="AA186" i="5"/>
  <c r="AB158" i="5"/>
  <c r="AC407" i="5"/>
  <c r="AD407" i="5" s="1"/>
  <c r="AC357" i="5"/>
  <c r="AE357" i="5" s="1"/>
  <c r="AA290" i="5"/>
  <c r="AA305" i="5"/>
  <c r="AA440" i="5"/>
  <c r="AB292" i="5"/>
  <c r="AA65" i="5"/>
  <c r="AB230" i="5"/>
  <c r="AC326" i="5"/>
  <c r="AD326" i="5" s="1"/>
  <c r="AA353" i="5"/>
  <c r="AB339" i="5"/>
  <c r="AC95" i="5"/>
  <c r="AE95" i="5" s="1"/>
  <c r="AB295" i="5"/>
  <c r="AB186" i="5"/>
  <c r="AA488" i="5"/>
  <c r="AA407" i="5"/>
  <c r="AA427" i="5"/>
  <c r="AA323" i="5"/>
  <c r="AC227" i="5"/>
  <c r="AD227" i="5" s="1"/>
  <c r="AC230" i="5"/>
  <c r="AD230" i="5" s="1"/>
  <c r="AA315" i="5"/>
  <c r="AA245" i="5"/>
  <c r="AC284" i="5"/>
  <c r="AS284" i="5" s="1"/>
  <c r="AC287" i="5"/>
  <c r="AE287" i="5" s="1"/>
  <c r="AC311" i="5"/>
  <c r="AS311" i="5" s="1"/>
  <c r="AC124" i="5"/>
  <c r="AD124" i="5" s="1"/>
  <c r="AA496" i="5"/>
  <c r="AB377" i="5"/>
  <c r="AB245" i="5"/>
  <c r="AC224" i="5"/>
  <c r="AD224" i="5" s="1"/>
  <c r="AA339" i="5"/>
  <c r="AA284" i="5"/>
  <c r="AA95" i="5"/>
  <c r="AA311" i="5"/>
  <c r="AA365" i="5"/>
  <c r="AA391" i="5"/>
  <c r="AC172" i="5"/>
  <c r="AD172" i="5" s="1"/>
  <c r="AB20" i="5"/>
  <c r="AB458" i="5"/>
  <c r="AA127" i="5"/>
  <c r="AA122" i="5"/>
  <c r="AB323" i="5"/>
  <c r="AB496" i="5"/>
  <c r="AA377" i="5"/>
  <c r="AA172" i="5"/>
  <c r="AA197" i="5"/>
  <c r="AB399" i="5"/>
  <c r="AA224" i="5"/>
  <c r="AB365" i="5"/>
  <c r="AC176" i="5"/>
  <c r="AS176" i="5" s="1"/>
  <c r="AC391" i="5"/>
  <c r="AD391" i="5" s="1"/>
  <c r="AC458" i="5"/>
  <c r="AE458" i="5" s="1"/>
  <c r="AB127" i="5"/>
  <c r="AB122" i="5"/>
  <c r="AC435" i="5"/>
  <c r="AE435" i="5" s="1"/>
  <c r="AA176" i="5"/>
  <c r="AA504" i="5"/>
  <c r="AB117" i="5"/>
  <c r="AB124" i="5"/>
  <c r="AA239" i="5"/>
  <c r="AB197" i="5"/>
  <c r="AB45" i="5"/>
  <c r="AC196" i="5"/>
  <c r="AD196" i="5" s="1"/>
  <c r="AA450" i="5"/>
  <c r="AA20" i="5"/>
  <c r="AC442" i="5"/>
  <c r="AD442" i="5" s="1"/>
  <c r="AA269" i="5"/>
  <c r="AB473" i="5"/>
  <c r="AB450" i="5"/>
  <c r="AB165" i="5"/>
  <c r="AB120" i="5"/>
  <c r="AA45" i="5"/>
  <c r="AC423" i="5"/>
  <c r="AD423" i="5" s="1"/>
  <c r="AC490" i="5"/>
  <c r="AD490" i="5" s="1"/>
  <c r="AC355" i="5"/>
  <c r="AD355" i="5" s="1"/>
  <c r="AA300" i="5"/>
  <c r="AB433" i="5"/>
  <c r="AA248" i="5"/>
  <c r="AA252" i="5"/>
  <c r="AA84" i="5"/>
  <c r="AA23" i="5"/>
  <c r="AB427" i="5"/>
  <c r="AA28" i="5"/>
  <c r="AA399" i="5"/>
  <c r="AA87" i="5"/>
  <c r="AA381" i="5"/>
  <c r="AA178" i="5"/>
  <c r="AC28" i="5"/>
  <c r="AE28" i="5" s="1"/>
  <c r="AB178" i="5"/>
  <c r="AA334" i="5"/>
  <c r="AC524" i="5"/>
  <c r="AS524" i="5" s="1"/>
  <c r="AB54" i="5"/>
  <c r="AB143" i="5"/>
  <c r="AB61" i="5"/>
  <c r="AB246" i="5"/>
  <c r="AA21" i="5"/>
  <c r="AA225" i="5"/>
  <c r="AA10" i="5"/>
  <c r="AB341" i="5"/>
  <c r="AB268" i="5"/>
  <c r="AA480" i="5"/>
  <c r="AA434" i="5"/>
  <c r="AA104" i="5"/>
  <c r="AB434" i="5"/>
  <c r="AB280" i="5"/>
  <c r="AB182" i="5"/>
  <c r="AA530" i="5"/>
  <c r="AB542" i="5"/>
  <c r="AE82" i="4"/>
  <c r="AB302" i="5"/>
  <c r="AA310" i="5"/>
  <c r="AB307" i="5"/>
  <c r="AB30" i="5"/>
  <c r="AC187" i="5"/>
  <c r="AS187" i="5" s="1"/>
  <c r="AC167" i="5"/>
  <c r="AS167" i="5" s="1"/>
  <c r="AB508" i="5"/>
  <c r="AC449" i="5"/>
  <c r="AS449" i="5" s="1"/>
  <c r="AB44" i="5"/>
  <c r="AB449" i="5"/>
  <c r="AE71" i="4"/>
  <c r="AB210" i="5"/>
  <c r="AB73" i="5"/>
  <c r="AB279" i="5"/>
  <c r="AB159" i="5"/>
  <c r="AB411" i="5"/>
  <c r="AA383" i="5"/>
  <c r="AA183" i="5"/>
  <c r="AC322" i="5"/>
  <c r="AE322" i="5" s="1"/>
  <c r="AB237" i="5"/>
  <c r="AA73" i="5"/>
  <c r="AA337" i="5"/>
  <c r="AC37" i="5"/>
  <c r="AS37" i="5" s="1"/>
  <c r="AA510" i="5"/>
  <c r="AA152" i="5"/>
  <c r="AC86" i="5"/>
  <c r="AE86" i="5" s="1"/>
  <c r="AA508" i="5"/>
  <c r="AA78" i="5"/>
  <c r="AC79" i="5"/>
  <c r="AD79" i="5" s="1"/>
  <c r="AA162" i="5"/>
  <c r="AB240" i="5"/>
  <c r="AA79" i="5"/>
  <c r="AB378" i="5"/>
  <c r="AB233" i="5"/>
  <c r="AC249" i="5"/>
  <c r="AE249" i="5" s="1"/>
  <c r="AB68" i="5"/>
  <c r="AA190" i="5"/>
  <c r="AA52" i="5"/>
  <c r="AA12" i="5"/>
  <c r="AC177" i="5"/>
  <c r="AD177" i="5" s="1"/>
  <c r="AC211" i="5"/>
  <c r="AE211" i="5" s="1"/>
  <c r="AA227" i="5"/>
  <c r="AA237" i="5"/>
  <c r="AA352" i="5"/>
  <c r="AC233" i="5"/>
  <c r="AE233" i="5" s="1"/>
  <c r="AB249" i="5"/>
  <c r="AA68" i="5"/>
  <c r="AA234" i="5"/>
  <c r="AA177" i="5"/>
  <c r="AB156" i="5"/>
  <c r="AB198" i="5"/>
  <c r="AC419" i="5"/>
  <c r="AD419" i="5" s="1"/>
  <c r="AB211" i="5"/>
  <c r="AB195" i="5"/>
  <c r="AB345" i="5"/>
  <c r="AA378" i="5"/>
  <c r="AC246" i="5"/>
  <c r="AD246" i="5" s="1"/>
  <c r="AB123" i="5"/>
  <c r="AB271" i="5"/>
  <c r="AA56" i="5"/>
  <c r="AC352" i="5"/>
  <c r="AD352" i="5" s="1"/>
  <c r="AC393" i="5"/>
  <c r="AE393" i="5" s="1"/>
  <c r="AB234" i="5"/>
  <c r="AA556" i="5"/>
  <c r="AC330" i="5"/>
  <c r="AE330" i="5" s="1"/>
  <c r="AC156" i="5"/>
  <c r="AD156" i="5" s="1"/>
  <c r="AA164" i="5"/>
  <c r="AB141" i="5"/>
  <c r="AB386" i="5"/>
  <c r="AC195" i="5"/>
  <c r="AE195" i="5" s="1"/>
  <c r="AA552" i="5"/>
  <c r="AA115" i="5"/>
  <c r="AA280" i="5"/>
  <c r="AC123" i="5"/>
  <c r="AS123" i="5" s="1"/>
  <c r="AC271" i="5"/>
  <c r="AD271" i="5" s="1"/>
  <c r="AC56" i="5"/>
  <c r="AE56" i="5" s="1"/>
  <c r="AC159" i="5"/>
  <c r="AS159" i="5" s="1"/>
  <c r="AB393" i="5"/>
  <c r="AA187" i="5"/>
  <c r="AC337" i="5"/>
  <c r="AS337" i="5" s="1"/>
  <c r="AB556" i="5"/>
  <c r="AA44" i="5"/>
  <c r="AB37" i="5"/>
  <c r="AA330" i="5"/>
  <c r="AA218" i="5"/>
  <c r="AB102" i="5"/>
  <c r="AA141" i="5"/>
  <c r="AA167" i="5"/>
  <c r="AA229" i="5"/>
  <c r="AB115" i="5"/>
  <c r="AB77" i="5"/>
  <c r="AB21" i="5"/>
  <c r="AB310" i="5"/>
  <c r="AB218" i="5"/>
  <c r="AA102" i="5"/>
  <c r="AB183" i="5"/>
  <c r="AC30" i="5"/>
  <c r="AD30" i="5" s="1"/>
  <c r="AB322" i="5"/>
  <c r="AC542" i="5"/>
  <c r="AE542" i="5" s="1"/>
  <c r="AB229" i="5"/>
  <c r="AC162" i="5"/>
  <c r="AD162" i="5" s="1"/>
  <c r="AC52" i="5"/>
  <c r="AD52" i="5" s="1"/>
  <c r="AC307" i="5"/>
  <c r="AE307" i="5" s="1"/>
  <c r="AA182" i="5"/>
  <c r="AC152" i="5"/>
  <c r="AD152" i="5" s="1"/>
  <c r="AA210" i="5"/>
  <c r="AC10" i="5"/>
  <c r="AD10" i="5" s="1"/>
  <c r="AA279" i="5"/>
  <c r="AC190" i="5"/>
  <c r="AD190" i="5" s="1"/>
  <c r="AC225" i="5"/>
  <c r="AE225" i="5" s="1"/>
  <c r="AC96" i="5"/>
  <c r="AE96" i="5" s="1"/>
  <c r="AA240" i="5"/>
  <c r="AC164" i="5"/>
  <c r="AE164" i="5" s="1"/>
  <c r="AB12" i="5"/>
  <c r="AB78" i="5"/>
  <c r="AC299" i="5"/>
  <c r="AD299" i="5" s="1"/>
  <c r="AE70" i="4"/>
  <c r="AA243" i="5"/>
  <c r="AB38" i="5"/>
  <c r="AC63" i="5"/>
  <c r="AS63" i="5" s="1"/>
  <c r="AB154" i="5"/>
  <c r="AB272" i="5"/>
  <c r="AA385" i="5"/>
  <c r="AA492" i="5"/>
  <c r="AA72" i="5"/>
  <c r="AB559" i="5"/>
  <c r="AC250" i="5"/>
  <c r="AD250" i="5" s="1"/>
  <c r="AC131" i="5"/>
  <c r="AD131" i="5" s="1"/>
  <c r="AC64" i="5"/>
  <c r="AD64" i="5" s="1"/>
  <c r="AB67" i="5"/>
  <c r="AB477" i="5"/>
  <c r="AB204" i="5"/>
  <c r="AC516" i="5"/>
  <c r="AE516" i="5" s="1"/>
  <c r="AC347" i="5"/>
  <c r="AS347" i="5" s="1"/>
  <c r="AB99" i="5"/>
  <c r="AC74" i="5"/>
  <c r="AS74" i="5" s="1"/>
  <c r="AC169" i="5"/>
  <c r="AE169" i="5" s="1"/>
  <c r="AB83" i="5"/>
  <c r="AC281" i="5"/>
  <c r="AE281" i="5" s="1"/>
  <c r="AC154" i="5"/>
  <c r="AD154" i="5" s="1"/>
  <c r="AA107" i="5"/>
  <c r="AC146" i="5"/>
  <c r="AS146" i="5" s="1"/>
  <c r="AC98" i="5"/>
  <c r="AD98" i="5" s="1"/>
  <c r="AA559" i="5"/>
  <c r="AB131" i="5"/>
  <c r="AA266" i="5"/>
  <c r="AA204" i="5"/>
  <c r="AC550" i="5"/>
  <c r="AD550" i="5" s="1"/>
  <c r="AA478" i="5"/>
  <c r="AA374" i="5"/>
  <c r="AC11" i="5"/>
  <c r="AA328" i="5"/>
  <c r="AC328" i="5"/>
  <c r="AD328" i="5" s="1"/>
  <c r="AC526" i="5"/>
  <c r="AD526" i="5" s="1"/>
  <c r="AA113" i="5"/>
  <c r="AA500" i="5"/>
  <c r="AA516" i="5"/>
  <c r="AA457" i="5"/>
  <c r="AA541" i="5"/>
  <c r="AB347" i="5"/>
  <c r="AA99" i="5"/>
  <c r="AC273" i="5"/>
  <c r="AE273" i="5" s="1"/>
  <c r="AB74" i="5"/>
  <c r="AA344" i="5"/>
  <c r="AA319" i="5"/>
  <c r="AC107" i="5"/>
  <c r="AD107" i="5" s="1"/>
  <c r="AA146" i="5"/>
  <c r="AB98" i="5"/>
  <c r="AB534" i="5"/>
  <c r="AC139" i="5"/>
  <c r="AE139" i="5" s="1"/>
  <c r="AB419" i="5"/>
  <c r="AC170" i="5"/>
  <c r="AS170" i="5" s="1"/>
  <c r="AB266" i="5"/>
  <c r="AA173" i="5"/>
  <c r="AB96" i="5"/>
  <c r="X102" i="4"/>
  <c r="AJ102" i="4" s="1"/>
  <c r="AC288" i="5"/>
  <c r="AS288" i="5" s="1"/>
  <c r="AB413" i="5"/>
  <c r="AC488" i="5"/>
  <c r="AS488" i="5" s="1"/>
  <c r="AB526" i="5"/>
  <c r="AB113" i="5"/>
  <c r="AB500" i="5"/>
  <c r="AA134" i="5"/>
  <c r="AC457" i="5"/>
  <c r="AD457" i="5" s="1"/>
  <c r="AC71" i="5"/>
  <c r="AE71" i="5" s="1"/>
  <c r="AB541" i="5"/>
  <c r="AE51" i="4"/>
  <c r="AA273" i="5"/>
  <c r="AB344" i="5"/>
  <c r="AC258" i="5"/>
  <c r="AS258" i="5" s="1"/>
  <c r="AC319" i="5"/>
  <c r="AS319" i="5" s="1"/>
  <c r="AB39" i="5"/>
  <c r="AA534" i="5"/>
  <c r="AA198" i="5"/>
  <c r="AB139" i="5"/>
  <c r="AA170" i="5"/>
  <c r="AA345" i="5"/>
  <c r="AC370" i="5"/>
  <c r="AS370" i="5" s="1"/>
  <c r="AB71" i="5"/>
  <c r="AC39" i="5"/>
  <c r="AE39" i="5" s="1"/>
  <c r="AA519" i="5"/>
  <c r="AB134" i="5"/>
  <c r="AB432" i="5"/>
  <c r="AC100" i="5"/>
  <c r="AS100" i="5" s="1"/>
  <c r="AA238" i="5"/>
  <c r="AA22" i="5"/>
  <c r="AC85" i="5"/>
  <c r="AS85" i="5" s="1"/>
  <c r="AC235" i="5"/>
  <c r="AE235" i="5" s="1"/>
  <c r="AA444" i="5"/>
  <c r="AC92" i="5"/>
  <c r="AE92" i="5" s="1"/>
  <c r="AC185" i="5"/>
  <c r="AD185" i="5" s="1"/>
  <c r="AA517" i="5"/>
  <c r="AA258" i="5"/>
  <c r="AB370" i="5"/>
  <c r="AC161" i="5"/>
  <c r="AS161" i="5" s="1"/>
  <c r="AA432" i="5"/>
  <c r="AB299" i="5"/>
  <c r="AB22" i="5"/>
  <c r="AB85" i="5"/>
  <c r="AA185" i="5"/>
  <c r="AB238" i="5"/>
  <c r="AA277" i="5"/>
  <c r="AB481" i="5"/>
  <c r="AO19" i="4"/>
  <c r="AG19" i="4"/>
  <c r="AI19" i="4" s="1"/>
  <c r="AB466" i="5"/>
  <c r="AC412" i="5"/>
  <c r="AD412" i="5" s="1"/>
  <c r="AB381" i="5"/>
  <c r="AA47" i="5"/>
  <c r="AC464" i="5"/>
  <c r="AS464" i="5" s="1"/>
  <c r="AB248" i="5"/>
  <c r="AA408" i="5"/>
  <c r="AA433" i="5"/>
  <c r="AA349" i="5"/>
  <c r="AB312" i="5"/>
  <c r="AB555" i="5"/>
  <c r="AB443" i="5"/>
  <c r="AA505" i="5"/>
  <c r="AA155" i="5"/>
  <c r="AA512" i="5"/>
  <c r="AC334" i="5"/>
  <c r="AE334" i="5" s="1"/>
  <c r="AA355" i="5"/>
  <c r="AA547" i="5"/>
  <c r="AB451" i="5"/>
  <c r="AB232" i="5"/>
  <c r="AA46" i="5"/>
  <c r="AA420" i="5"/>
  <c r="AB536" i="5"/>
  <c r="AA481" i="5"/>
  <c r="AR210" i="5"/>
  <c r="AQ291" i="5"/>
  <c r="X23" i="4"/>
  <c r="AJ23" i="4" s="1"/>
  <c r="Y23" i="4"/>
  <c r="Z23" i="4" s="1"/>
  <c r="AE23" i="4"/>
  <c r="AN10" i="5"/>
  <c r="AO10" i="5"/>
  <c r="AE52" i="4"/>
  <c r="X52" i="4"/>
  <c r="AJ52" i="4" s="1"/>
  <c r="Y52" i="4"/>
  <c r="Z52" i="4" s="1"/>
  <c r="AG71" i="4"/>
  <c r="AI71" i="4" s="1"/>
  <c r="AO71" i="4"/>
  <c r="AA466" i="5"/>
  <c r="AA483" i="5"/>
  <c r="AB483" i="5"/>
  <c r="AC84" i="5"/>
  <c r="AD84" i="5" s="1"/>
  <c r="AB412" i="5"/>
  <c r="AC252" i="5"/>
  <c r="AS252" i="5" s="1"/>
  <c r="AB349" i="5"/>
  <c r="AA555" i="5"/>
  <c r="AB505" i="5"/>
  <c r="AB512" i="5"/>
  <c r="AA490" i="5"/>
  <c r="AA451" i="5"/>
  <c r="AA232" i="5"/>
  <c r="AB46" i="5"/>
  <c r="AA520" i="5"/>
  <c r="AA536" i="5"/>
  <c r="Y103" i="4"/>
  <c r="Z103" i="4" s="1"/>
  <c r="AF103" i="4" s="1"/>
  <c r="AO103" i="4" s="1"/>
  <c r="AE103" i="4"/>
  <c r="X103" i="4"/>
  <c r="AJ103" i="4" s="1"/>
  <c r="Y95" i="4"/>
  <c r="Z95" i="4" s="1"/>
  <c r="AE95" i="4"/>
  <c r="X95" i="4"/>
  <c r="AJ95" i="4" s="1"/>
  <c r="U10" i="5"/>
  <c r="V10" i="5"/>
  <c r="AE64" i="4"/>
  <c r="Y64" i="4"/>
  <c r="Z64" i="4" s="1"/>
  <c r="X128" i="4"/>
  <c r="AJ128" i="4" s="1"/>
  <c r="Y128" i="4"/>
  <c r="Z128" i="4" s="1"/>
  <c r="AE128" i="4"/>
  <c r="Y69" i="4"/>
  <c r="Z69" i="4" s="1"/>
  <c r="X69" i="4"/>
  <c r="AJ69" i="4" s="1"/>
  <c r="AE69" i="4"/>
  <c r="X93" i="4"/>
  <c r="AJ93" i="4" s="1"/>
  <c r="AE93" i="4"/>
  <c r="Y93" i="4"/>
  <c r="Z93" i="4" s="1"/>
  <c r="X45" i="4"/>
  <c r="AJ45" i="4" s="1"/>
  <c r="Y45" i="4"/>
  <c r="Z45" i="4" s="1"/>
  <c r="AF45" i="4" s="1"/>
  <c r="AG45" i="4" s="1"/>
  <c r="AI45" i="4" s="1"/>
  <c r="AE45" i="4"/>
  <c r="AE150" i="4"/>
  <c r="Y150" i="4"/>
  <c r="Z150" i="4" s="1"/>
  <c r="X68" i="4"/>
  <c r="AJ68" i="4" s="1"/>
  <c r="AE68" i="4"/>
  <c r="Y68" i="4"/>
  <c r="Z68" i="4" s="1"/>
  <c r="AF68" i="4" s="1"/>
  <c r="AG68" i="4" s="1"/>
  <c r="AI68" i="4" s="1"/>
  <c r="AH10" i="5"/>
  <c r="AI10" i="5"/>
  <c r="AA89" i="5"/>
  <c r="AA308" i="5"/>
  <c r="AA58" i="5"/>
  <c r="AB493" i="5"/>
  <c r="AA423" i="5"/>
  <c r="AA454" i="5"/>
  <c r="AC358" i="5"/>
  <c r="AE358" i="5" s="1"/>
  <c r="AA418" i="5"/>
  <c r="AA395" i="5"/>
  <c r="AB474" i="5"/>
  <c r="AB524" i="5"/>
  <c r="AC527" i="5"/>
  <c r="AE527" i="5" s="1"/>
  <c r="AA489" i="5"/>
  <c r="AA193" i="5"/>
  <c r="AQ181" i="5"/>
  <c r="X134" i="4"/>
  <c r="AJ134" i="4" s="1"/>
  <c r="Y134" i="4"/>
  <c r="Z134" i="4" s="1"/>
  <c r="AE134" i="4"/>
  <c r="R10" i="5"/>
  <c r="S10" i="5"/>
  <c r="X44" i="4"/>
  <c r="AF70" i="4"/>
  <c r="AE44" i="4"/>
  <c r="AA286" i="5"/>
  <c r="AB300" i="5"/>
  <c r="AC286" i="5"/>
  <c r="AS286" i="5" s="1"/>
  <c r="AC467" i="5"/>
  <c r="AS467" i="5" s="1"/>
  <c r="AB342" i="5"/>
  <c r="AC89" i="5"/>
  <c r="AD89" i="5" s="1"/>
  <c r="AB439" i="5"/>
  <c r="AB308" i="5"/>
  <c r="AC535" i="5"/>
  <c r="AD535" i="5" s="1"/>
  <c r="AC144" i="5"/>
  <c r="AS144" i="5" s="1"/>
  <c r="AB58" i="5"/>
  <c r="AC397" i="5"/>
  <c r="AS397" i="5" s="1"/>
  <c r="AC493" i="5"/>
  <c r="AD493" i="5" s="1"/>
  <c r="AC454" i="5"/>
  <c r="AS454" i="5" s="1"/>
  <c r="AA324" i="5"/>
  <c r="AA358" i="5"/>
  <c r="AB147" i="5"/>
  <c r="AC418" i="5"/>
  <c r="AD418" i="5" s="1"/>
  <c r="AB395" i="5"/>
  <c r="AB558" i="5"/>
  <c r="AC474" i="5"/>
  <c r="AD474" i="5" s="1"/>
  <c r="AC373" i="5"/>
  <c r="AS373" i="5" s="1"/>
  <c r="AB527" i="5"/>
  <c r="AC489" i="5"/>
  <c r="AS489" i="5" s="1"/>
  <c r="AB446" i="5"/>
  <c r="AC448" i="5"/>
  <c r="AS448" i="5" s="1"/>
  <c r="AC340" i="5"/>
  <c r="AD340" i="5" s="1"/>
  <c r="AB144" i="5"/>
  <c r="AE54" i="4"/>
  <c r="Y54" i="4"/>
  <c r="Z54" i="4" s="1"/>
  <c r="X70" i="4"/>
  <c r="AK70" i="4" s="1"/>
  <c r="AB34" i="5"/>
  <c r="AA467" i="5"/>
  <c r="AA342" i="5"/>
  <c r="AB485" i="5"/>
  <c r="AC439" i="5"/>
  <c r="AE439" i="5" s="1"/>
  <c r="AB325" i="5"/>
  <c r="AB535" i="5"/>
  <c r="AC367" i="5"/>
  <c r="AE367" i="5" s="1"/>
  <c r="AA415" i="5"/>
  <c r="AA397" i="5"/>
  <c r="AC324" i="5"/>
  <c r="AS324" i="5" s="1"/>
  <c r="AA147" i="5"/>
  <c r="AA558" i="5"/>
  <c r="AB109" i="5"/>
  <c r="AA373" i="5"/>
  <c r="AA446" i="5"/>
  <c r="AB448" i="5"/>
  <c r="AA340" i="5"/>
  <c r="AR94" i="5"/>
  <c r="Y157" i="4"/>
  <c r="Z157" i="4" s="1"/>
  <c r="AE157" i="4"/>
  <c r="AE102" i="4"/>
  <c r="X19" i="4"/>
  <c r="AJ19" i="4" s="1"/>
  <c r="AA184" i="5"/>
  <c r="AC485" i="5"/>
  <c r="AS485" i="5" s="1"/>
  <c r="AA325" i="5"/>
  <c r="AC47" i="5"/>
  <c r="AE47" i="5" s="1"/>
  <c r="AB367" i="5"/>
  <c r="AC415" i="5"/>
  <c r="AE415" i="5" s="1"/>
  <c r="AB464" i="5"/>
  <c r="AC408" i="5"/>
  <c r="AS408" i="5" s="1"/>
  <c r="AC312" i="5"/>
  <c r="AS312" i="5" s="1"/>
  <c r="AC443" i="5"/>
  <c r="AE443" i="5" s="1"/>
  <c r="AC109" i="5"/>
  <c r="AS109" i="5" s="1"/>
  <c r="AC547" i="5"/>
  <c r="AE547" i="5" s="1"/>
  <c r="AE43" i="4"/>
  <c r="AA81" i="5"/>
  <c r="Y77" i="4"/>
  <c r="Z77" i="4" s="1"/>
  <c r="AE77" i="4"/>
  <c r="AE19" i="4"/>
  <c r="AB184" i="5"/>
  <c r="AB81" i="5"/>
  <c r="X10" i="5"/>
  <c r="Y10" i="5"/>
  <c r="Y116" i="4"/>
  <c r="Z116" i="4" s="1"/>
  <c r="AE116" i="4"/>
  <c r="X71" i="4"/>
  <c r="AJ71" i="4" s="1"/>
  <c r="X116" i="4"/>
  <c r="AC192" i="5"/>
  <c r="AS192" i="5" s="1"/>
  <c r="AB242" i="5"/>
  <c r="AC549" i="5"/>
  <c r="AD549" i="5" s="1"/>
  <c r="AA145" i="5"/>
  <c r="AB145" i="5"/>
  <c r="AC149" i="5"/>
  <c r="AS149" i="5" s="1"/>
  <c r="AA264" i="5"/>
  <c r="AA528" i="5"/>
  <c r="AB51" i="5"/>
  <c r="AA476" i="5"/>
  <c r="AA33" i="5"/>
  <c r="AC445" i="5"/>
  <c r="AS445" i="5" s="1"/>
  <c r="AA553" i="5"/>
  <c r="AB24" i="5"/>
  <c r="AA398" i="5"/>
  <c r="AC88" i="5"/>
  <c r="AE88" i="5" s="1"/>
  <c r="AC368" i="5"/>
  <c r="AD368" i="5" s="1"/>
  <c r="AB406" i="5"/>
  <c r="AA497" i="5"/>
  <c r="AA136" i="5"/>
  <c r="AC431" i="5"/>
  <c r="AD431" i="5" s="1"/>
  <c r="AC519" i="5"/>
  <c r="AD519" i="5" s="1"/>
  <c r="AB191" i="5"/>
  <c r="AC484" i="5"/>
  <c r="AS484" i="5" s="1"/>
  <c r="AC461" i="5"/>
  <c r="AS461" i="5" s="1"/>
  <c r="AC207" i="5"/>
  <c r="AD207" i="5" s="1"/>
  <c r="AB41" i="5"/>
  <c r="AC538" i="5"/>
  <c r="AS538" i="5" s="1"/>
  <c r="AB200" i="5"/>
  <c r="AA314" i="5"/>
  <c r="AC61" i="5"/>
  <c r="AD61" i="5" s="1"/>
  <c r="AB215" i="5"/>
  <c r="AC87" i="5"/>
  <c r="AS87" i="5" s="1"/>
  <c r="AA67" i="5"/>
  <c r="AA126" i="5"/>
  <c r="AB384" i="5"/>
  <c r="AC503" i="5"/>
  <c r="AE503" i="5" s="1"/>
  <c r="AB264" i="5"/>
  <c r="AA153" i="5"/>
  <c r="AB110" i="5"/>
  <c r="AB316" i="5"/>
  <c r="AB437" i="5"/>
  <c r="AA148" i="5"/>
  <c r="AB476" i="5"/>
  <c r="AB33" i="5"/>
  <c r="AA138" i="5"/>
  <c r="AB76" i="5"/>
  <c r="AA24" i="5"/>
  <c r="AB88" i="5"/>
  <c r="AC510" i="5"/>
  <c r="AD510" i="5" s="1"/>
  <c r="AC545" i="5"/>
  <c r="AD545" i="5" s="1"/>
  <c r="AB459" i="5"/>
  <c r="AB40" i="5"/>
  <c r="AC91" i="5"/>
  <c r="AS91" i="5" s="1"/>
  <c r="AB136" i="5"/>
  <c r="AC191" i="5"/>
  <c r="AE191" i="5" s="1"/>
  <c r="AA484" i="5"/>
  <c r="AA461" i="5"/>
  <c r="AA207" i="5"/>
  <c r="AC276" i="5"/>
  <c r="AD276" i="5" s="1"/>
  <c r="AA538" i="5"/>
  <c r="AB173" i="5"/>
  <c r="AB388" i="5"/>
  <c r="AB126" i="5"/>
  <c r="B112" i="2"/>
  <c r="B154" i="2" s="1"/>
  <c r="H40" i="1" s="1"/>
  <c r="AB9" i="5"/>
  <c r="AA9" i="5"/>
  <c r="AC9" i="5"/>
  <c r="AC118" i="5"/>
  <c r="AS118" i="5" s="1"/>
  <c r="AB219" i="5"/>
  <c r="AC212" i="5"/>
  <c r="AS212" i="5" s="1"/>
  <c r="AA503" i="5"/>
  <c r="AA549" i="5"/>
  <c r="AC531" i="5"/>
  <c r="AD531" i="5" s="1"/>
  <c r="AB350" i="5"/>
  <c r="AC487" i="5"/>
  <c r="AD487" i="5" s="1"/>
  <c r="AA422" i="5"/>
  <c r="AA482" i="5"/>
  <c r="AA468" i="5"/>
  <c r="AA479" i="5"/>
  <c r="AA518" i="5"/>
  <c r="AB530" i="5"/>
  <c r="AA515" i="5"/>
  <c r="AC256" i="5"/>
  <c r="AS256" i="5" s="1"/>
  <c r="AA531" i="5"/>
  <c r="AC557" i="5"/>
  <c r="AS557" i="5" s="1"/>
  <c r="AA364" i="5"/>
  <c r="AC372" i="5"/>
  <c r="AE372" i="5" s="1"/>
  <c r="AB479" i="5"/>
  <c r="AA192" i="5"/>
  <c r="AC242" i="5"/>
  <c r="AD242" i="5" s="1"/>
  <c r="AB507" i="5"/>
  <c r="AA75" i="5"/>
  <c r="AC130" i="5"/>
  <c r="AS130" i="5" s="1"/>
  <c r="AB557" i="5"/>
  <c r="AC554" i="5"/>
  <c r="AS554" i="5" s="1"/>
  <c r="AB216" i="5"/>
  <c r="AA35" i="5"/>
  <c r="AB482" i="5"/>
  <c r="AA250" i="5"/>
  <c r="AC364" i="5"/>
  <c r="AE364" i="5" s="1"/>
  <c r="AA57" i="5"/>
  <c r="AA372" i="5"/>
  <c r="AC389" i="5"/>
  <c r="AE389" i="5" s="1"/>
  <c r="AA212" i="5"/>
  <c r="AB285" i="5"/>
  <c r="AB389" i="5"/>
  <c r="AA285" i="5"/>
  <c r="AA257" i="5"/>
  <c r="AB528" i="5"/>
  <c r="AC507" i="5"/>
  <c r="AD507" i="5" s="1"/>
  <c r="AB75" i="5"/>
  <c r="AB130" i="5"/>
  <c r="AC51" i="5"/>
  <c r="AE51" i="5" s="1"/>
  <c r="AB554" i="5"/>
  <c r="AA216" i="5"/>
  <c r="AB398" i="5"/>
  <c r="B118" i="2"/>
  <c r="B99" i="2" s="1"/>
  <c r="B119" i="2" s="1"/>
  <c r="AB35" i="5"/>
  <c r="AC497" i="5"/>
  <c r="AE497" i="5" s="1"/>
  <c r="AC41" i="5"/>
  <c r="AD41" i="5" s="1"/>
  <c r="AC57" i="5"/>
  <c r="AD57" i="5" s="1"/>
  <c r="AC215" i="5"/>
  <c r="AS215" i="5" s="1"/>
  <c r="AB257" i="5"/>
  <c r="AA200" i="5"/>
  <c r="AE136" i="4"/>
  <c r="AE49" i="4"/>
  <c r="X99" i="4"/>
  <c r="AJ99" i="4" s="1"/>
  <c r="X151" i="4"/>
  <c r="AJ151" i="4" s="1"/>
  <c r="AE53" i="4"/>
  <c r="B115" i="2"/>
  <c r="B96" i="2" s="1"/>
  <c r="B116" i="2" s="1"/>
  <c r="AE87" i="4"/>
  <c r="X117" i="4"/>
  <c r="AJ117" i="4" s="1"/>
  <c r="AE147" i="4"/>
  <c r="X80" i="4"/>
  <c r="AJ80" i="4" s="1"/>
  <c r="X124" i="4"/>
  <c r="AJ124" i="4" s="1"/>
  <c r="X122" i="4"/>
  <c r="AJ122" i="4" s="1"/>
  <c r="AE114" i="4"/>
  <c r="AE50" i="4"/>
  <c r="AE13" i="4"/>
  <c r="X65" i="4"/>
  <c r="AJ65" i="4" s="1"/>
  <c r="X82" i="4"/>
  <c r="AJ82" i="4" s="1"/>
  <c r="X13" i="4"/>
  <c r="AJ13" i="4" s="1"/>
  <c r="AE36" i="4"/>
  <c r="AE120" i="4"/>
  <c r="X51" i="4"/>
  <c r="AJ51" i="4" s="1"/>
  <c r="AF114" i="4"/>
  <c r="AO114" i="4" s="1"/>
  <c r="X41" i="4"/>
  <c r="AK41" i="4" s="1"/>
  <c r="AE97" i="4"/>
  <c r="X114" i="4"/>
  <c r="AJ114" i="4" s="1"/>
  <c r="AE117" i="4"/>
  <c r="AE41" i="4"/>
  <c r="AE33" i="4"/>
  <c r="AE113" i="4"/>
  <c r="X104" i="4"/>
  <c r="AE80" i="4"/>
  <c r="X97" i="4"/>
  <c r="AJ97" i="4" s="1"/>
  <c r="X120" i="4"/>
  <c r="AJ120" i="4" s="1"/>
  <c r="AE151" i="4"/>
  <c r="X136" i="4"/>
  <c r="AJ136" i="4" s="1"/>
  <c r="Z120" i="4"/>
  <c r="B76" i="2"/>
  <c r="X113" i="4"/>
  <c r="AJ113" i="4" s="1"/>
  <c r="AG82" i="4"/>
  <c r="AI82" i="4" s="1"/>
  <c r="AF80" i="4"/>
  <c r="AF11" i="4"/>
  <c r="AQ484" i="5"/>
  <c r="AR484" i="5"/>
  <c r="AQ500" i="5"/>
  <c r="AR500" i="5"/>
  <c r="AR347" i="5"/>
  <c r="AQ347" i="5"/>
  <c r="AQ341" i="5"/>
  <c r="AR341" i="5"/>
  <c r="AQ409" i="5"/>
  <c r="AR409" i="5"/>
  <c r="AR61" i="5"/>
  <c r="AQ61" i="5"/>
  <c r="B81" i="2"/>
  <c r="B82" i="2" s="1"/>
  <c r="H22" i="1" s="1"/>
  <c r="AR102" i="5"/>
  <c r="AQ102" i="5"/>
  <c r="AR120" i="5"/>
  <c r="AQ120" i="5"/>
  <c r="X32" i="4"/>
  <c r="AQ53" i="5"/>
  <c r="AR53" i="5"/>
  <c r="AR515" i="5"/>
  <c r="AQ515" i="5"/>
  <c r="AQ293" i="5"/>
  <c r="AR293" i="5"/>
  <c r="AR559" i="5"/>
  <c r="AQ559" i="5"/>
  <c r="AR8" i="5"/>
  <c r="AQ8" i="5"/>
  <c r="AQ223" i="5"/>
  <c r="AR223" i="5"/>
  <c r="AF156" i="4"/>
  <c r="AQ200" i="5"/>
  <c r="AR200" i="5"/>
  <c r="AQ519" i="5"/>
  <c r="AR519" i="5"/>
  <c r="AQ106" i="5"/>
  <c r="AR106" i="5"/>
  <c r="AQ289" i="5"/>
  <c r="AR289" i="5"/>
  <c r="AR235" i="5"/>
  <c r="AQ235" i="5"/>
  <c r="AQ343" i="5"/>
  <c r="AR343" i="5"/>
  <c r="AR456" i="5"/>
  <c r="AQ456" i="5"/>
  <c r="AQ96" i="5"/>
  <c r="AR96" i="5"/>
  <c r="AQ203" i="5"/>
  <c r="AR203" i="5"/>
  <c r="AR553" i="5"/>
  <c r="AQ553" i="5"/>
  <c r="AR151" i="5"/>
  <c r="AQ151" i="5"/>
  <c r="AQ424" i="5"/>
  <c r="AR424" i="5"/>
  <c r="AQ464" i="5"/>
  <c r="AR464" i="5"/>
  <c r="AQ320" i="5"/>
  <c r="AR320" i="5"/>
  <c r="AQ504" i="5"/>
  <c r="AR504" i="5"/>
  <c r="AQ137" i="5"/>
  <c r="AR137" i="5"/>
  <c r="AQ393" i="5"/>
  <c r="AR393" i="5"/>
  <c r="AR391" i="5"/>
  <c r="AQ391" i="5"/>
  <c r="AR268" i="5"/>
  <c r="AQ268" i="5"/>
  <c r="AQ400" i="5"/>
  <c r="AR400" i="5"/>
  <c r="AF154" i="4"/>
  <c r="AR303" i="5"/>
  <c r="AQ303" i="5"/>
  <c r="AQ32" i="5"/>
  <c r="AR32" i="5"/>
  <c r="AR523" i="5"/>
  <c r="AQ523" i="5"/>
  <c r="AF13" i="4"/>
  <c r="AR242" i="5"/>
  <c r="AQ242" i="5"/>
  <c r="X119" i="4"/>
  <c r="AA119" i="4" s="1"/>
  <c r="AC119" i="4" s="1"/>
  <c r="AD119" i="4" s="1"/>
  <c r="X49" i="4"/>
  <c r="AQ538" i="5"/>
  <c r="AR538" i="5"/>
  <c r="AQ505" i="5"/>
  <c r="AR505" i="5"/>
  <c r="AQ408" i="5"/>
  <c r="AR408" i="5"/>
  <c r="AQ468" i="5"/>
  <c r="AR468" i="5"/>
  <c r="AQ208" i="5"/>
  <c r="AR208" i="5"/>
  <c r="AE11" i="4"/>
  <c r="AR508" i="5"/>
  <c r="AQ508" i="5"/>
  <c r="AR532" i="5"/>
  <c r="AQ532" i="5"/>
  <c r="AR443" i="5"/>
  <c r="AQ443" i="5"/>
  <c r="AQ480" i="5"/>
  <c r="AR480" i="5"/>
  <c r="AR111" i="5"/>
  <c r="AQ111" i="5"/>
  <c r="AQ180" i="5"/>
  <c r="AR180" i="5"/>
  <c r="AR503" i="5"/>
  <c r="AQ503" i="5"/>
  <c r="AQ156" i="5"/>
  <c r="AR156" i="5"/>
  <c r="AR99" i="5"/>
  <c r="AQ99" i="5"/>
  <c r="AQ358" i="5"/>
  <c r="AR358" i="5"/>
  <c r="AQ439" i="5"/>
  <c r="AR439" i="5"/>
  <c r="AQ509" i="5"/>
  <c r="AR509" i="5"/>
  <c r="AQ230" i="5"/>
  <c r="AR230" i="5"/>
  <c r="AR115" i="5"/>
  <c r="AQ115" i="5"/>
  <c r="AQ256" i="5"/>
  <c r="AR256" i="5"/>
  <c r="AR546" i="5"/>
  <c r="AQ546" i="5"/>
  <c r="AQ207" i="5"/>
  <c r="AR207" i="5"/>
  <c r="AE90" i="4"/>
  <c r="AQ466" i="5"/>
  <c r="AR466" i="5"/>
  <c r="Y13" i="5"/>
  <c r="X13" i="5"/>
  <c r="AO112" i="4"/>
  <c r="AG112" i="4"/>
  <c r="AI112" i="4" s="1"/>
  <c r="AR265" i="5"/>
  <c r="AQ265" i="5"/>
  <c r="AR107" i="5"/>
  <c r="AQ107" i="5"/>
  <c r="AQ367" i="5"/>
  <c r="AR367" i="5"/>
  <c r="AR286" i="5"/>
  <c r="AQ286" i="5"/>
  <c r="AQ228" i="5"/>
  <c r="AR228" i="5"/>
  <c r="AR266" i="5"/>
  <c r="AQ266" i="5"/>
  <c r="AR248" i="5"/>
  <c r="AQ248" i="5"/>
  <c r="AR168" i="5"/>
  <c r="AQ168" i="5"/>
  <c r="AR427" i="5"/>
  <c r="AQ427" i="5"/>
  <c r="AG36" i="4"/>
  <c r="AI36" i="4" s="1"/>
  <c r="AO36" i="4"/>
  <c r="AQ399" i="5"/>
  <c r="AR399" i="5"/>
  <c r="AR164" i="5"/>
  <c r="AQ164" i="5"/>
  <c r="AQ329" i="5"/>
  <c r="AR329" i="5"/>
  <c r="AR63" i="5"/>
  <c r="AQ63" i="5"/>
  <c r="AR123" i="5"/>
  <c r="AQ123" i="5"/>
  <c r="AQ534" i="5"/>
  <c r="AR534" i="5"/>
  <c r="AR376" i="5"/>
  <c r="AQ376" i="5"/>
  <c r="AR28" i="5"/>
  <c r="AQ28" i="5"/>
  <c r="AQ526" i="5"/>
  <c r="AR526" i="5"/>
  <c r="AQ472" i="5"/>
  <c r="AR472" i="5"/>
  <c r="AR275" i="5"/>
  <c r="AQ275" i="5"/>
  <c r="AR198" i="5"/>
  <c r="AQ198" i="5"/>
  <c r="AQ482" i="5"/>
  <c r="AR482" i="5"/>
  <c r="AQ75" i="5"/>
  <c r="AR75" i="5"/>
  <c r="AQ170" i="5"/>
  <c r="AR170" i="5"/>
  <c r="AQ139" i="5"/>
  <c r="AR139" i="5"/>
  <c r="AG41" i="4"/>
  <c r="AI41" i="4" s="1"/>
  <c r="AO41" i="4"/>
  <c r="AQ529" i="5"/>
  <c r="AR529" i="5"/>
  <c r="AE115" i="4"/>
  <c r="AQ403" i="5"/>
  <c r="AR403" i="5"/>
  <c r="AR389" i="5"/>
  <c r="AQ389" i="5"/>
  <c r="AR352" i="5"/>
  <c r="AQ352" i="5"/>
  <c r="AR555" i="5"/>
  <c r="AQ555" i="5"/>
  <c r="AR366" i="5"/>
  <c r="AQ366" i="5"/>
  <c r="X156" i="4"/>
  <c r="AA156" i="4" s="1"/>
  <c r="AC156" i="4" s="1"/>
  <c r="AD156" i="4" s="1"/>
  <c r="AQ458" i="5"/>
  <c r="AR458" i="5"/>
  <c r="AQ297" i="5"/>
  <c r="AR297" i="5"/>
  <c r="AQ84" i="5"/>
  <c r="AR84" i="5"/>
  <c r="AQ249" i="5"/>
  <c r="AR249" i="5"/>
  <c r="AR27" i="5"/>
  <c r="AQ27" i="5"/>
  <c r="AQ271" i="5"/>
  <c r="AR271" i="5"/>
  <c r="X16" i="4"/>
  <c r="AJ16" i="4" s="1"/>
  <c r="AQ294" i="5"/>
  <c r="AR294" i="5"/>
  <c r="AR149" i="5"/>
  <c r="AQ149" i="5"/>
  <c r="AR197" i="5"/>
  <c r="AQ197" i="5"/>
  <c r="AR52" i="5"/>
  <c r="AQ52" i="5"/>
  <c r="AQ373" i="5"/>
  <c r="AR373" i="5"/>
  <c r="AQ469" i="5"/>
  <c r="AR469" i="5"/>
  <c r="AR253" i="5"/>
  <c r="AQ253" i="5"/>
  <c r="AR100" i="5"/>
  <c r="AQ100" i="5"/>
  <c r="AL13" i="5"/>
  <c r="AK13" i="5"/>
  <c r="AQ76" i="5"/>
  <c r="AR76" i="5"/>
  <c r="AR224" i="5"/>
  <c r="AQ224" i="5"/>
  <c r="AQ55" i="5"/>
  <c r="AR55" i="5"/>
  <c r="AQ336" i="5"/>
  <c r="AR336" i="5"/>
  <c r="AR288" i="5"/>
  <c r="AQ288" i="5"/>
  <c r="AF50" i="4"/>
  <c r="AE107" i="4"/>
  <c r="AR85" i="5"/>
  <c r="AQ85" i="5"/>
  <c r="AR501" i="5"/>
  <c r="AQ501" i="5"/>
  <c r="X53" i="4"/>
  <c r="AA53" i="4" s="1"/>
  <c r="AC53" i="4" s="1"/>
  <c r="AD53" i="4" s="1"/>
  <c r="AQ251" i="5"/>
  <c r="AR251" i="5"/>
  <c r="AQ236" i="5"/>
  <c r="AR236" i="5"/>
  <c r="AR243" i="5"/>
  <c r="AQ243" i="5"/>
  <c r="AR471" i="5"/>
  <c r="AQ471" i="5"/>
  <c r="AQ435" i="5"/>
  <c r="AR435" i="5"/>
  <c r="AQ213" i="5"/>
  <c r="AR213" i="5"/>
  <c r="AQ513" i="5"/>
  <c r="AR513" i="5"/>
  <c r="AE32" i="4"/>
  <c r="AR334" i="5"/>
  <c r="AQ334" i="5"/>
  <c r="AQ395" i="5"/>
  <c r="AR395" i="5"/>
  <c r="AO13" i="5"/>
  <c r="AN13" i="5"/>
  <c r="AQ323" i="5"/>
  <c r="AR323" i="5"/>
  <c r="AO53" i="4"/>
  <c r="AG53" i="4"/>
  <c r="AI53" i="4" s="1"/>
  <c r="AR292" i="5"/>
  <c r="AQ292" i="5"/>
  <c r="AQ499" i="5"/>
  <c r="AR499" i="5"/>
  <c r="Z32" i="4"/>
  <c r="AQ33" i="5"/>
  <c r="AR33" i="5"/>
  <c r="AR331" i="5"/>
  <c r="AQ331" i="5"/>
  <c r="AQ537" i="5"/>
  <c r="AR537" i="5"/>
  <c r="AQ91" i="5"/>
  <c r="AR91" i="5"/>
  <c r="AQ161" i="5"/>
  <c r="AR161" i="5"/>
  <c r="AQ163" i="5"/>
  <c r="AR163" i="5"/>
  <c r="AQ272" i="5"/>
  <c r="AR272" i="5"/>
  <c r="AR31" i="5"/>
  <c r="AQ31" i="5"/>
  <c r="AQ349" i="5"/>
  <c r="AR349" i="5"/>
  <c r="AQ206" i="5"/>
  <c r="AR206" i="5"/>
  <c r="AR425" i="5"/>
  <c r="AQ425" i="5"/>
  <c r="AQ195" i="5"/>
  <c r="AR195" i="5"/>
  <c r="AQ29" i="5"/>
  <c r="AR29" i="5"/>
  <c r="AR108" i="5"/>
  <c r="AQ108" i="5"/>
  <c r="AR41" i="5"/>
  <c r="AQ41" i="5"/>
  <c r="X110" i="4"/>
  <c r="X121" i="4"/>
  <c r="X115" i="4"/>
  <c r="AF107" i="4"/>
  <c r="AR449" i="5"/>
  <c r="AQ449" i="5"/>
  <c r="AQ473" i="5"/>
  <c r="AR473" i="5"/>
  <c r="AQ136" i="5"/>
  <c r="AR136" i="5"/>
  <c r="AQ441" i="5"/>
  <c r="AR441" i="5"/>
  <c r="AQ361" i="5"/>
  <c r="AR361" i="5"/>
  <c r="AQ430" i="5"/>
  <c r="AR430" i="5"/>
  <c r="AR113" i="5"/>
  <c r="AQ113" i="5"/>
  <c r="AR240" i="5"/>
  <c r="AQ240" i="5"/>
  <c r="AQ285" i="5"/>
  <c r="AR285" i="5"/>
  <c r="AQ263" i="5"/>
  <c r="AR263" i="5"/>
  <c r="AR154" i="5"/>
  <c r="AQ154" i="5"/>
  <c r="AQ124" i="5"/>
  <c r="AR124" i="5"/>
  <c r="X11" i="4"/>
  <c r="AJ11" i="4" s="1"/>
  <c r="AR40" i="5"/>
  <c r="AQ40" i="5"/>
  <c r="AR363" i="5"/>
  <c r="AQ363" i="5"/>
  <c r="AB13" i="5"/>
  <c r="AA13" i="5"/>
  <c r="AQ549" i="5"/>
  <c r="AR549" i="5"/>
  <c r="AE104" i="4"/>
  <c r="AQ446" i="5"/>
  <c r="AR446" i="5"/>
  <c r="AR543" i="5"/>
  <c r="AQ543" i="5"/>
  <c r="AF122" i="4"/>
  <c r="AE124" i="4"/>
  <c r="AQ414" i="5"/>
  <c r="AR414" i="5"/>
  <c r="AQ407" i="5"/>
  <c r="AR407" i="5"/>
  <c r="AR215" i="5"/>
  <c r="AQ215" i="5"/>
  <c r="AE154" i="4"/>
  <c r="AQ431" i="5"/>
  <c r="AR431" i="5"/>
  <c r="AR7" i="5"/>
  <c r="AQ7" i="5"/>
  <c r="Z90" i="4"/>
  <c r="AF90" i="4" s="1"/>
  <c r="AR369" i="5"/>
  <c r="AQ369" i="5"/>
  <c r="AR177" i="5"/>
  <c r="AQ177" i="5"/>
  <c r="AR46" i="5"/>
  <c r="AQ46" i="5"/>
  <c r="AR80" i="5"/>
  <c r="AQ80" i="5"/>
  <c r="AQ362" i="5"/>
  <c r="AR362" i="5"/>
  <c r="AE65" i="4"/>
  <c r="AR411" i="5"/>
  <c r="AQ411" i="5"/>
  <c r="AQ97" i="5"/>
  <c r="AR97" i="5"/>
  <c r="AQ90" i="5"/>
  <c r="AR90" i="5"/>
  <c r="AQ19" i="5"/>
  <c r="AR19" i="5"/>
  <c r="AR308" i="5"/>
  <c r="AQ308" i="5"/>
  <c r="AQ188" i="5"/>
  <c r="AR188" i="5"/>
  <c r="AE110" i="4"/>
  <c r="AR121" i="5"/>
  <c r="AQ121" i="5"/>
  <c r="AQ241" i="5"/>
  <c r="AR241" i="5"/>
  <c r="X42" i="4"/>
  <c r="AQ311" i="5"/>
  <c r="AR311" i="5"/>
  <c r="AR193" i="5"/>
  <c r="AQ193" i="5"/>
  <c r="AQ445" i="5"/>
  <c r="AR445" i="5"/>
  <c r="S13" i="5"/>
  <c r="R13" i="5"/>
  <c r="AQ269" i="5"/>
  <c r="AR269" i="5"/>
  <c r="AQ209" i="5"/>
  <c r="AR209" i="5"/>
  <c r="AQ433" i="5"/>
  <c r="AR433" i="5"/>
  <c r="AQ412" i="5"/>
  <c r="AR412" i="5"/>
  <c r="AR12" i="5"/>
  <c r="AQ322" i="5"/>
  <c r="AR322" i="5"/>
  <c r="AR514" i="5"/>
  <c r="AQ514" i="5"/>
  <c r="AE112" i="4"/>
  <c r="Z113" i="4"/>
  <c r="AF113" i="4" s="1"/>
  <c r="AR152" i="5"/>
  <c r="AQ152" i="5"/>
  <c r="AQ95" i="5"/>
  <c r="AR95" i="5"/>
  <c r="AR479" i="5"/>
  <c r="AQ479" i="5"/>
  <c r="AQ502" i="5"/>
  <c r="AR502" i="5"/>
  <c r="AQ518" i="5"/>
  <c r="AR518" i="5"/>
  <c r="AQ167" i="5"/>
  <c r="AR167" i="5"/>
  <c r="AE42" i="4"/>
  <c r="AQ442" i="5"/>
  <c r="AR442" i="5"/>
  <c r="AQ59" i="5"/>
  <c r="AR59" i="5"/>
  <c r="AR277" i="5"/>
  <c r="AQ277" i="5"/>
  <c r="AQ221" i="5"/>
  <c r="AR221" i="5"/>
  <c r="AQ310" i="5"/>
  <c r="AR310" i="5"/>
  <c r="AQ204" i="5"/>
  <c r="AR204" i="5"/>
  <c r="AR375" i="5"/>
  <c r="AQ375" i="5"/>
  <c r="AR507" i="5"/>
  <c r="AQ507" i="5"/>
  <c r="AQ191" i="5"/>
  <c r="AR191" i="5"/>
  <c r="AR298" i="5"/>
  <c r="AQ298" i="5"/>
  <c r="AQ357" i="5"/>
  <c r="AR357" i="5"/>
  <c r="AR309" i="5"/>
  <c r="AQ309" i="5"/>
  <c r="AQ478" i="5"/>
  <c r="AR478" i="5"/>
  <c r="AR89" i="5"/>
  <c r="AQ89" i="5"/>
  <c r="AR174" i="5"/>
  <c r="AQ174" i="5"/>
  <c r="AE56" i="4"/>
  <c r="AR385" i="5"/>
  <c r="AQ385" i="5"/>
  <c r="AR342" i="5"/>
  <c r="AQ342" i="5"/>
  <c r="AR186" i="5"/>
  <c r="AQ186" i="5"/>
  <c r="AQ282" i="5"/>
  <c r="AR282" i="5"/>
  <c r="AR57" i="5"/>
  <c r="AQ57" i="5"/>
  <c r="AQ440" i="5"/>
  <c r="AR440" i="5"/>
  <c r="AE88" i="4"/>
  <c r="AQ264" i="5"/>
  <c r="AR264" i="5"/>
  <c r="AQ467" i="5"/>
  <c r="AR467" i="5"/>
  <c r="AR162" i="5"/>
  <c r="AQ162" i="5"/>
  <c r="AQ419" i="5"/>
  <c r="AR419" i="5"/>
  <c r="AE16" i="4"/>
  <c r="AR295" i="5"/>
  <c r="AQ295" i="5"/>
  <c r="X107" i="4"/>
  <c r="AA107" i="4" s="1"/>
  <c r="AC107" i="4" s="1"/>
  <c r="AD107" i="4" s="1"/>
  <c r="AR116" i="5"/>
  <c r="AQ116" i="5"/>
  <c r="AR145" i="5"/>
  <c r="AQ145" i="5"/>
  <c r="AQ453" i="5"/>
  <c r="AR453" i="5"/>
  <c r="AQ220" i="5"/>
  <c r="AR220" i="5"/>
  <c r="AQ279" i="5"/>
  <c r="AR279" i="5"/>
  <c r="X147" i="4"/>
  <c r="AA147" i="4" s="1"/>
  <c r="AC147" i="4" s="1"/>
  <c r="AD147" i="4" s="1"/>
  <c r="AR128" i="5"/>
  <c r="AQ128" i="5"/>
  <c r="AQ415" i="5"/>
  <c r="AR415" i="5"/>
  <c r="X87" i="4"/>
  <c r="AQ328" i="5"/>
  <c r="AR328" i="5"/>
  <c r="AQ160" i="5"/>
  <c r="AR160" i="5"/>
  <c r="AH13" i="5"/>
  <c r="AP13" i="5"/>
  <c r="AI13" i="5"/>
  <c r="AQ475" i="5"/>
  <c r="AR475" i="5"/>
  <c r="AE119" i="4"/>
  <c r="AQ423" i="5"/>
  <c r="AR423" i="5"/>
  <c r="X154" i="4"/>
  <c r="AA154" i="4" s="1"/>
  <c r="AC154" i="4" s="1"/>
  <c r="AD154" i="4" s="1"/>
  <c r="AQ35" i="5"/>
  <c r="AR35" i="5"/>
  <c r="AR155" i="5"/>
  <c r="AQ155" i="5"/>
  <c r="AQ351" i="5"/>
  <c r="AR351" i="5"/>
  <c r="AR114" i="5"/>
  <c r="AQ114" i="5"/>
  <c r="AR179" i="5"/>
  <c r="AQ179" i="5"/>
  <c r="AQ344" i="5"/>
  <c r="AR344" i="5"/>
  <c r="X50" i="4"/>
  <c r="AA50" i="4" s="1"/>
  <c r="AC50" i="4" s="1"/>
  <c r="AD50" i="4" s="1"/>
  <c r="AQ459" i="5"/>
  <c r="AR459" i="5"/>
  <c r="AR172" i="5"/>
  <c r="AQ172" i="5"/>
  <c r="AR315" i="5"/>
  <c r="AQ315" i="5"/>
  <c r="AR196" i="5"/>
  <c r="AQ196" i="5"/>
  <c r="AQ325" i="5"/>
  <c r="AR325" i="5"/>
  <c r="AQ452" i="5"/>
  <c r="AR452" i="5"/>
  <c r="AR353" i="5"/>
  <c r="AQ353" i="5"/>
  <c r="AR68" i="5"/>
  <c r="AQ68" i="5"/>
  <c r="AQ62" i="5"/>
  <c r="AR62" i="5"/>
  <c r="AE99" i="4"/>
  <c r="X33" i="4"/>
  <c r="AQ299" i="5"/>
  <c r="AR299" i="5"/>
  <c r="AQ171" i="5"/>
  <c r="AR171" i="5"/>
  <c r="AR246" i="5"/>
  <c r="AQ246" i="5"/>
  <c r="AQ183" i="5"/>
  <c r="AR183" i="5"/>
  <c r="AR125" i="5"/>
  <c r="AQ125" i="5"/>
  <c r="AQ50" i="5"/>
  <c r="AR50" i="5"/>
  <c r="AQ67" i="5"/>
  <c r="AR67" i="5"/>
  <c r="AQ74" i="5"/>
  <c r="AR74" i="5"/>
  <c r="AQ132" i="5"/>
  <c r="AR132" i="5"/>
  <c r="AQ455" i="5"/>
  <c r="AR455" i="5"/>
  <c r="AR83" i="5"/>
  <c r="AQ83" i="5"/>
  <c r="AQ316" i="5"/>
  <c r="AR316" i="5"/>
  <c r="AQ490" i="5"/>
  <c r="AR490" i="5"/>
  <c r="AE121" i="4"/>
  <c r="AR421" i="5"/>
  <c r="AQ421" i="5"/>
  <c r="AQ231" i="5"/>
  <c r="AR231" i="5"/>
  <c r="AR317" i="5"/>
  <c r="AQ317" i="5"/>
  <c r="AR319" i="5"/>
  <c r="AQ319" i="5"/>
  <c r="X56" i="4"/>
  <c r="X88" i="4"/>
  <c r="AQ280" i="5"/>
  <c r="AR280" i="5"/>
  <c r="AQ36" i="5"/>
  <c r="AR36" i="5"/>
  <c r="AR550" i="5"/>
  <c r="AQ550" i="5"/>
  <c r="AQ401" i="5"/>
  <c r="AR401" i="5"/>
  <c r="AR150" i="5"/>
  <c r="AQ150" i="5"/>
  <c r="AQ122" i="5"/>
  <c r="AR122" i="5"/>
  <c r="AF147" i="4"/>
  <c r="AQ339" i="5"/>
  <c r="AR339" i="5"/>
  <c r="AQ254" i="5"/>
  <c r="AR254" i="5"/>
  <c r="AR547" i="5"/>
  <c r="AQ547" i="5"/>
  <c r="AR413" i="5"/>
  <c r="AQ413" i="5"/>
  <c r="AQ511" i="5"/>
  <c r="AR511" i="5"/>
  <c r="AF124" i="4"/>
  <c r="AQ481" i="5"/>
  <c r="AR481" i="5"/>
  <c r="U13" i="5"/>
  <c r="V13" i="5"/>
  <c r="AC13" i="5"/>
  <c r="AR247" i="5"/>
  <c r="AQ247" i="5"/>
  <c r="AR86" i="5"/>
  <c r="AQ86" i="5"/>
  <c r="AR98" i="5"/>
  <c r="AQ98" i="5"/>
  <c r="AQ201" i="5"/>
  <c r="AR201" i="5"/>
  <c r="AF65" i="4"/>
  <c r="X112" i="4"/>
  <c r="AA112" i="4" s="1"/>
  <c r="AC112" i="4" s="1"/>
  <c r="AD112" i="4" s="1"/>
  <c r="AF99" i="4"/>
  <c r="AE156" i="4"/>
  <c r="H34" i="1"/>
  <c r="B145" i="2"/>
  <c r="H35" i="1" s="1"/>
  <c r="AQ60" i="5"/>
  <c r="AR60" i="5"/>
  <c r="AQ429" i="5"/>
  <c r="AR429" i="5"/>
  <c r="AR377" i="5"/>
  <c r="AQ377" i="5"/>
  <c r="AQ554" i="5"/>
  <c r="AR554" i="5"/>
  <c r="X36" i="4"/>
  <c r="AA36" i="4" s="1"/>
  <c r="AC36" i="4" s="1"/>
  <c r="AD36" i="4" s="1"/>
  <c r="AF119" i="4"/>
  <c r="AQ489" i="5"/>
  <c r="AR489" i="5"/>
  <c r="AQ541" i="5"/>
  <c r="AR541" i="5"/>
  <c r="AR88" i="5"/>
  <c r="AQ88" i="5"/>
  <c r="AQ305" i="5"/>
  <c r="AR305" i="5"/>
  <c r="AR44" i="5"/>
  <c r="AQ44" i="5"/>
  <c r="AR39" i="5"/>
  <c r="AQ39" i="5"/>
  <c r="AQ73" i="5"/>
  <c r="AR73" i="5"/>
  <c r="AQ374" i="5"/>
  <c r="AR374" i="5"/>
  <c r="AQ416" i="5"/>
  <c r="AR416" i="5"/>
  <c r="X90" i="4"/>
  <c r="X43" i="4"/>
  <c r="AQ388" i="5"/>
  <c r="AR388" i="5"/>
  <c r="AR185" i="5"/>
  <c r="AQ185" i="5"/>
  <c r="AR49" i="5"/>
  <c r="AQ49" i="5"/>
  <c r="AR71" i="5"/>
  <c r="AQ71" i="5"/>
  <c r="AF51" i="4"/>
  <c r="AF108" i="4" l="1"/>
  <c r="AG108" i="4" s="1"/>
  <c r="AI108" i="4" s="1"/>
  <c r="X74" i="4"/>
  <c r="AJ74" i="4" s="1"/>
  <c r="AK104" i="4"/>
  <c r="AA33" i="4"/>
  <c r="AC33" i="4" s="1"/>
  <c r="AD33" i="4" s="1"/>
  <c r="AE149" i="4"/>
  <c r="X149" i="4"/>
  <c r="AK149" i="4" s="1"/>
  <c r="AO78" i="4"/>
  <c r="X28" i="4"/>
  <c r="AA28" i="4" s="1"/>
  <c r="AC28" i="4" s="1"/>
  <c r="AD28" i="4" s="1"/>
  <c r="AE138" i="4"/>
  <c r="AF28" i="4"/>
  <c r="AG28" i="4" s="1"/>
  <c r="AI28" i="4" s="1"/>
  <c r="X138" i="4"/>
  <c r="AJ138" i="4" s="1"/>
  <c r="AE17" i="4"/>
  <c r="AE28" i="4"/>
  <c r="X78" i="4"/>
  <c r="AA78" i="4" s="1"/>
  <c r="AC78" i="4" s="1"/>
  <c r="AD78" i="4" s="1"/>
  <c r="X17" i="4"/>
  <c r="AJ17" i="4" s="1"/>
  <c r="AQ10" i="5"/>
  <c r="X146" i="4"/>
  <c r="AA146" i="4" s="1"/>
  <c r="AC146" i="4" s="1"/>
  <c r="AD146" i="4" s="1"/>
  <c r="AA56" i="4"/>
  <c r="AC56" i="4" s="1"/>
  <c r="AD56" i="4" s="1"/>
  <c r="AA110" i="4"/>
  <c r="AC110" i="4" s="1"/>
  <c r="AD110" i="4" s="1"/>
  <c r="AA98" i="4"/>
  <c r="AC98" i="4" s="1"/>
  <c r="AD98" i="4" s="1"/>
  <c r="X131" i="4"/>
  <c r="AK131" i="4" s="1"/>
  <c r="AG74" i="4"/>
  <c r="AI74" i="4" s="1"/>
  <c r="AO98" i="4"/>
  <c r="AE137" i="4"/>
  <c r="AE108" i="4"/>
  <c r="AO89" i="4"/>
  <c r="X86" i="4"/>
  <c r="AJ86" i="4" s="1"/>
  <c r="AS371" i="5"/>
  <c r="AU371" i="5" s="1"/>
  <c r="AE131" i="4"/>
  <c r="X89" i="4"/>
  <c r="AJ89" i="4" s="1"/>
  <c r="X108" i="4"/>
  <c r="AJ108" i="4" s="1"/>
  <c r="AA121" i="4"/>
  <c r="AC121" i="4" s="1"/>
  <c r="AD121" i="4" s="1"/>
  <c r="AA88" i="4"/>
  <c r="AC88" i="4" s="1"/>
  <c r="AD88" i="4" s="1"/>
  <c r="AO151" i="4"/>
  <c r="AE78" i="4"/>
  <c r="AE86" i="4"/>
  <c r="X27" i="4"/>
  <c r="AJ27" i="4" s="1"/>
  <c r="AO27" i="4"/>
  <c r="AE27" i="4"/>
  <c r="AK98" i="4"/>
  <c r="AE48" i="4"/>
  <c r="X60" i="4"/>
  <c r="AJ60" i="4" s="1"/>
  <c r="AF81" i="4"/>
  <c r="AG81" i="4" s="1"/>
  <c r="AI81" i="4" s="1"/>
  <c r="AG96" i="4"/>
  <c r="AI96" i="4" s="1"/>
  <c r="AE139" i="4"/>
  <c r="AE30" i="4"/>
  <c r="AG136" i="4"/>
  <c r="AI136" i="4" s="1"/>
  <c r="AO40" i="4"/>
  <c r="X40" i="4"/>
  <c r="AJ40" i="4" s="1"/>
  <c r="AO30" i="4"/>
  <c r="AE40" i="4"/>
  <c r="X85" i="4"/>
  <c r="AJ85" i="4" s="1"/>
  <c r="X63" i="4"/>
  <c r="AJ63" i="4" s="1"/>
  <c r="Y8" i="4"/>
  <c r="Z8" i="4" s="1"/>
  <c r="AF8" i="4" s="1"/>
  <c r="AO31" i="4"/>
  <c r="X81" i="4"/>
  <c r="AJ81" i="4" s="1"/>
  <c r="AE55" i="4"/>
  <c r="AE81" i="4"/>
  <c r="X8" i="4"/>
  <c r="AJ8" i="4" s="1"/>
  <c r="X139" i="4"/>
  <c r="AA139" i="4" s="1"/>
  <c r="AC139" i="4" s="1"/>
  <c r="AD139" i="4" s="1"/>
  <c r="AE85" i="4"/>
  <c r="AF139" i="4"/>
  <c r="AO139" i="4" s="1"/>
  <c r="Y127" i="4"/>
  <c r="Z127" i="4" s="1"/>
  <c r="AK127" i="4" s="1"/>
  <c r="X25" i="4"/>
  <c r="AK25" i="4" s="1"/>
  <c r="X92" i="4"/>
  <c r="AJ92" i="4" s="1"/>
  <c r="X118" i="4"/>
  <c r="AA118" i="4" s="1"/>
  <c r="AC118" i="4" s="1"/>
  <c r="AD118" i="4" s="1"/>
  <c r="X29" i="4"/>
  <c r="AA29" i="4" s="1"/>
  <c r="AC29" i="4" s="1"/>
  <c r="AD29" i="4" s="1"/>
  <c r="Y47" i="4"/>
  <c r="Z47" i="4" s="1"/>
  <c r="AE92" i="4"/>
  <c r="X47" i="4"/>
  <c r="AJ47" i="4" s="1"/>
  <c r="AF123" i="4"/>
  <c r="AO123" i="4" s="1"/>
  <c r="X123" i="4"/>
  <c r="AJ123" i="4" s="1"/>
  <c r="AE29" i="4"/>
  <c r="AE89" i="4"/>
  <c r="X137" i="4"/>
  <c r="AJ137" i="4" s="1"/>
  <c r="AE146" i="4"/>
  <c r="X48" i="4"/>
  <c r="AJ48" i="4" s="1"/>
  <c r="AK44" i="4"/>
  <c r="AF118" i="4"/>
  <c r="AG118" i="4" s="1"/>
  <c r="AI118" i="4" s="1"/>
  <c r="AF92" i="4"/>
  <c r="AG92" i="4" s="1"/>
  <c r="AI92" i="4" s="1"/>
  <c r="X7" i="4"/>
  <c r="AJ7" i="4" s="1"/>
  <c r="AG106" i="4"/>
  <c r="AI106" i="4" s="1"/>
  <c r="AE118" i="4"/>
  <c r="AO25" i="4"/>
  <c r="AE60" i="4"/>
  <c r="AE123" i="4"/>
  <c r="AE25" i="4"/>
  <c r="Y7" i="4"/>
  <c r="Z7" i="4" s="1"/>
  <c r="AF7" i="4" s="1"/>
  <c r="AD265" i="5"/>
  <c r="AE153" i="4"/>
  <c r="AE512" i="5"/>
  <c r="AF153" i="4"/>
  <c r="AG153" i="4" s="1"/>
  <c r="AI153" i="4" s="1"/>
  <c r="AG9" i="4"/>
  <c r="AI9" i="4" s="1"/>
  <c r="AE9" i="4"/>
  <c r="AS512" i="5"/>
  <c r="AU512" i="5" s="1"/>
  <c r="AE459" i="5"/>
  <c r="X153" i="4"/>
  <c r="AJ153" i="4" s="1"/>
  <c r="X30" i="4"/>
  <c r="AJ30" i="4" s="1"/>
  <c r="X9" i="4"/>
  <c r="AJ9" i="4" s="1"/>
  <c r="AS459" i="5"/>
  <c r="AU459" i="5" s="1"/>
  <c r="X75" i="4"/>
  <c r="AJ75" i="4" s="1"/>
  <c r="AE75" i="4"/>
  <c r="X106" i="4"/>
  <c r="AA106" i="4" s="1"/>
  <c r="AC106" i="4" s="1"/>
  <c r="AD106" i="4" s="1"/>
  <c r="AE106" i="4"/>
  <c r="Y100" i="4"/>
  <c r="Z100" i="4" s="1"/>
  <c r="AK100" i="4" s="1"/>
  <c r="AE74" i="4"/>
  <c r="AS264" i="5"/>
  <c r="AU264" i="5" s="1"/>
  <c r="AE127" i="4"/>
  <c r="AE38" i="4"/>
  <c r="Y63" i="4"/>
  <c r="Z63" i="4" s="1"/>
  <c r="AE31" i="4"/>
  <c r="X31" i="4"/>
  <c r="AA31" i="4" s="1"/>
  <c r="AC31" i="4" s="1"/>
  <c r="AD31" i="4" s="1"/>
  <c r="AF55" i="4"/>
  <c r="AO55" i="4" s="1"/>
  <c r="Y38" i="4"/>
  <c r="Z38" i="4" s="1"/>
  <c r="AA38" i="4" s="1"/>
  <c r="AC38" i="4" s="1"/>
  <c r="AD38" i="4" s="1"/>
  <c r="X55" i="4"/>
  <c r="AJ55" i="4" s="1"/>
  <c r="AD221" i="5"/>
  <c r="AE221" i="5"/>
  <c r="AS525" i="5"/>
  <c r="AT525" i="5" s="1"/>
  <c r="AD371" i="5"/>
  <c r="AE206" i="5"/>
  <c r="AE100" i="4"/>
  <c r="Y126" i="4"/>
  <c r="Z126" i="4" s="1"/>
  <c r="AF126" i="4" s="1"/>
  <c r="AD206" i="5"/>
  <c r="AE126" i="4"/>
  <c r="AS522" i="5"/>
  <c r="AU522" i="5" s="1"/>
  <c r="AG87" i="4"/>
  <c r="AI87" i="4" s="1"/>
  <c r="AE91" i="4"/>
  <c r="AD522" i="5"/>
  <c r="X111" i="4"/>
  <c r="AJ111" i="4" s="1"/>
  <c r="AA87" i="4"/>
  <c r="AC87" i="4" s="1"/>
  <c r="AD87" i="4" s="1"/>
  <c r="AA49" i="4"/>
  <c r="AC49" i="4" s="1"/>
  <c r="AD49" i="4" s="1"/>
  <c r="AD523" i="5"/>
  <c r="AO102" i="4"/>
  <c r="AE111" i="4"/>
  <c r="AF111" i="4"/>
  <c r="AG111" i="4" s="1"/>
  <c r="AI111" i="4" s="1"/>
  <c r="Y91" i="4"/>
  <c r="Z91" i="4" s="1"/>
  <c r="AA91" i="4" s="1"/>
  <c r="AC91" i="4" s="1"/>
  <c r="AD91" i="4" s="1"/>
  <c r="AE76" i="4"/>
  <c r="X18" i="4"/>
  <c r="AJ18" i="4" s="1"/>
  <c r="Y35" i="4"/>
  <c r="Z35" i="4" s="1"/>
  <c r="AF35" i="4" s="1"/>
  <c r="AE35" i="4"/>
  <c r="AE18" i="4"/>
  <c r="Y76" i="4"/>
  <c r="Z76" i="4" s="1"/>
  <c r="AA76" i="4" s="1"/>
  <c r="AC76" i="4" s="1"/>
  <c r="AD76" i="4" s="1"/>
  <c r="AG18" i="4"/>
  <c r="AI18" i="4" s="1"/>
  <c r="AO18" i="4"/>
  <c r="AS523" i="5"/>
  <c r="AT523" i="5" s="1"/>
  <c r="AD80" i="5"/>
  <c r="AD525" i="5"/>
  <c r="AE80" i="5"/>
  <c r="AD105" i="5"/>
  <c r="AE546" i="5"/>
  <c r="AS546" i="5"/>
  <c r="AU546" i="5" s="1"/>
  <c r="AD537" i="5"/>
  <c r="AS379" i="5"/>
  <c r="AU379" i="5" s="1"/>
  <c r="AS537" i="5"/>
  <c r="AU537" i="5" s="1"/>
  <c r="AD379" i="5"/>
  <c r="AE117" i="5"/>
  <c r="AE234" i="5"/>
  <c r="AS234" i="5"/>
  <c r="AU234" i="5" s="1"/>
  <c r="AD392" i="5"/>
  <c r="AS446" i="5"/>
  <c r="AU446" i="5" s="1"/>
  <c r="AD26" i="5"/>
  <c r="AD121" i="5"/>
  <c r="AD254" i="5"/>
  <c r="AD160" i="5"/>
  <c r="AE121" i="5"/>
  <c r="AE446" i="5"/>
  <c r="AE392" i="5"/>
  <c r="AE160" i="5"/>
  <c r="AS376" i="5"/>
  <c r="AT376" i="5" s="1"/>
  <c r="AD429" i="5"/>
  <c r="AE432" i="5"/>
  <c r="AE429" i="5"/>
  <c r="AD432" i="5"/>
  <c r="AE426" i="5"/>
  <c r="AS23" i="5"/>
  <c r="AT23" i="5" s="1"/>
  <c r="AS426" i="5"/>
  <c r="AT426" i="5" s="1"/>
  <c r="Y37" i="4"/>
  <c r="Z37" i="4" s="1"/>
  <c r="AA37" i="4" s="1"/>
  <c r="AC37" i="4" s="1"/>
  <c r="AD37" i="4" s="1"/>
  <c r="AE23" i="5"/>
  <c r="AE534" i="5"/>
  <c r="AS534" i="5"/>
  <c r="AT534" i="5" s="1"/>
  <c r="AS530" i="5"/>
  <c r="AU530" i="5" s="1"/>
  <c r="AE530" i="5"/>
  <c r="X145" i="4"/>
  <c r="AJ145" i="4" s="1"/>
  <c r="AE145" i="4"/>
  <c r="AE376" i="5"/>
  <c r="AS105" i="5"/>
  <c r="AU105" i="5" s="1"/>
  <c r="AD264" i="5"/>
  <c r="AD508" i="5"/>
  <c r="AD417" i="5"/>
  <c r="AD422" i="5"/>
  <c r="AS483" i="5"/>
  <c r="AU483" i="5" s="1"/>
  <c r="AS508" i="5"/>
  <c r="AU508" i="5" s="1"/>
  <c r="AE289" i="5"/>
  <c r="AD232" i="5"/>
  <c r="AE483" i="5"/>
  <c r="AE279" i="5"/>
  <c r="AE254" i="5"/>
  <c r="AE232" i="5"/>
  <c r="AD500" i="5"/>
  <c r="AD279" i="5"/>
  <c r="X66" i="4"/>
  <c r="AJ66" i="4" s="1"/>
  <c r="AE422" i="5"/>
  <c r="AS532" i="5"/>
  <c r="AT532" i="5" s="1"/>
  <c r="AS200" i="5"/>
  <c r="AT200" i="5" s="1"/>
  <c r="AE500" i="5"/>
  <c r="AS26" i="5"/>
  <c r="AT26" i="5" s="1"/>
  <c r="AE532" i="5"/>
  <c r="AD479" i="5"/>
  <c r="AS289" i="5"/>
  <c r="AT289" i="5" s="1"/>
  <c r="AE14" i="4"/>
  <c r="AS469" i="5"/>
  <c r="AU469" i="5" s="1"/>
  <c r="AD469" i="5"/>
  <c r="AE417" i="5"/>
  <c r="AS243" i="5"/>
  <c r="AU243" i="5" s="1"/>
  <c r="AS345" i="5"/>
  <c r="AT345" i="5" s="1"/>
  <c r="AD117" i="5"/>
  <c r="AS97" i="5"/>
  <c r="AT97" i="5" s="1"/>
  <c r="AS463" i="5"/>
  <c r="AU463" i="5" s="1"/>
  <c r="AE97" i="5"/>
  <c r="K36" i="2"/>
  <c r="L36" i="2"/>
  <c r="X46" i="4"/>
  <c r="AK46" i="4" s="1"/>
  <c r="AE15" i="4"/>
  <c r="AO46" i="4"/>
  <c r="AE37" i="4"/>
  <c r="AS265" i="5"/>
  <c r="AT265" i="5" s="1"/>
  <c r="AE520" i="5"/>
  <c r="AD520" i="5"/>
  <c r="AS184" i="5"/>
  <c r="AT184" i="5" s="1"/>
  <c r="AE184" i="5"/>
  <c r="AD463" i="5"/>
  <c r="AE205" i="5"/>
  <c r="AD470" i="5"/>
  <c r="AS470" i="5"/>
  <c r="AU470" i="5" s="1"/>
  <c r="AD556" i="5"/>
  <c r="AS327" i="5"/>
  <c r="AT327" i="5" s="1"/>
  <c r="AS509" i="5"/>
  <c r="AT509" i="5" s="1"/>
  <c r="AD511" i="5"/>
  <c r="AE140" i="5"/>
  <c r="AD452" i="5"/>
  <c r="AS226" i="5"/>
  <c r="AT226" i="5" s="1"/>
  <c r="AE354" i="5"/>
  <c r="AS22" i="5"/>
  <c r="AT22" i="5" s="1"/>
  <c r="AE213" i="5"/>
  <c r="AS511" i="5"/>
  <c r="AT511" i="5" s="1"/>
  <c r="AS297" i="5"/>
  <c r="AT297" i="5" s="1"/>
  <c r="AS466" i="5"/>
  <c r="AU466" i="5" s="1"/>
  <c r="AE297" i="5"/>
  <c r="AS213" i="5"/>
  <c r="AU213" i="5" s="1"/>
  <c r="AS540" i="5"/>
  <c r="AU540" i="5" s="1"/>
  <c r="AE359" i="5"/>
  <c r="Y20" i="4"/>
  <c r="Z20" i="4" s="1"/>
  <c r="AF20" i="4" s="1"/>
  <c r="AE20" i="4"/>
  <c r="AD444" i="5"/>
  <c r="AD183" i="5"/>
  <c r="AS49" i="5"/>
  <c r="AT49" i="5" s="1"/>
  <c r="AE46" i="4"/>
  <c r="AA43" i="4"/>
  <c r="AC43" i="4" s="1"/>
  <c r="AD43" i="4" s="1"/>
  <c r="AD540" i="5"/>
  <c r="AS359" i="5"/>
  <c r="AT359" i="5" s="1"/>
  <c r="AE365" i="5"/>
  <c r="AS514" i="5"/>
  <c r="AT514" i="5" s="1"/>
  <c r="AE479" i="5"/>
  <c r="X14" i="4"/>
  <c r="AJ14" i="4" s="1"/>
  <c r="AE24" i="5"/>
  <c r="AS166" i="5"/>
  <c r="AT166" i="5" s="1"/>
  <c r="AD136" i="5"/>
  <c r="X61" i="4"/>
  <c r="AJ61" i="4" s="1"/>
  <c r="AE66" i="4"/>
  <c r="AF66" i="4"/>
  <c r="AO66" i="4" s="1"/>
  <c r="AD302" i="5"/>
  <c r="AA149" i="4"/>
  <c r="AC149" i="4" s="1"/>
  <c r="AD149" i="4" s="1"/>
  <c r="AO61" i="4"/>
  <c r="AK18" i="4"/>
  <c r="AA115" i="4"/>
  <c r="AC115" i="4" s="1"/>
  <c r="AD115" i="4" s="1"/>
  <c r="AE61" i="4"/>
  <c r="AE40" i="5"/>
  <c r="AE237" i="5"/>
  <c r="AE42" i="5"/>
  <c r="AD386" i="5"/>
  <c r="AE261" i="5"/>
  <c r="AS188" i="5"/>
  <c r="AT188" i="5" s="1"/>
  <c r="AE386" i="5"/>
  <c r="AS42" i="5"/>
  <c r="AU42" i="5" s="1"/>
  <c r="AF142" i="4"/>
  <c r="AG142" i="4" s="1"/>
  <c r="AI142" i="4" s="1"/>
  <c r="AS248" i="5"/>
  <c r="AU248" i="5" s="1"/>
  <c r="AD261" i="5"/>
  <c r="AE142" i="4"/>
  <c r="AS361" i="5"/>
  <c r="AU361" i="5" s="1"/>
  <c r="AD361" i="5"/>
  <c r="AD543" i="5"/>
  <c r="AD280" i="5"/>
  <c r="AS313" i="5"/>
  <c r="AU313" i="5" s="1"/>
  <c r="X142" i="4"/>
  <c r="AJ142" i="4" s="1"/>
  <c r="AE280" i="5"/>
  <c r="AD301" i="5"/>
  <c r="AE303" i="5"/>
  <c r="AE482" i="5"/>
  <c r="AE382" i="5"/>
  <c r="AS351" i="5"/>
  <c r="AT351" i="5" s="1"/>
  <c r="AS518" i="5"/>
  <c r="AU518" i="5" s="1"/>
  <c r="AS31" i="5"/>
  <c r="AT31" i="5" s="1"/>
  <c r="AE491" i="5"/>
  <c r="AT278" i="5"/>
  <c r="AD365" i="5"/>
  <c r="AE501" i="5"/>
  <c r="AS353" i="5"/>
  <c r="AT353" i="5" s="1"/>
  <c r="AS421" i="5"/>
  <c r="AT421" i="5" s="1"/>
  <c r="AD332" i="5"/>
  <c r="AE332" i="5"/>
  <c r="AD518" i="5"/>
  <c r="AD203" i="5"/>
  <c r="AE166" i="5"/>
  <c r="AS302" i="5"/>
  <c r="AU302" i="5" s="1"/>
  <c r="AE70" i="5"/>
  <c r="AS145" i="5"/>
  <c r="AU145" i="5" s="1"/>
  <c r="AD514" i="5"/>
  <c r="AS300" i="5"/>
  <c r="AT300" i="5" s="1"/>
  <c r="AS444" i="5"/>
  <c r="AU444" i="5" s="1"/>
  <c r="AD345" i="5"/>
  <c r="AE136" i="5"/>
  <c r="AE243" i="5"/>
  <c r="AS113" i="5"/>
  <c r="AU113" i="5" s="1"/>
  <c r="AE300" i="5"/>
  <c r="AS382" i="5"/>
  <c r="AT382" i="5" s="1"/>
  <c r="AD482" i="5"/>
  <c r="AS58" i="5"/>
  <c r="AU58" i="5" s="1"/>
  <c r="AE58" i="5"/>
  <c r="AD48" i="5"/>
  <c r="AD363" i="5"/>
  <c r="AS201" i="5"/>
  <c r="AU201" i="5" s="1"/>
  <c r="AS349" i="5"/>
  <c r="AT349" i="5" s="1"/>
  <c r="AE336" i="5"/>
  <c r="AS137" i="5"/>
  <c r="AT137" i="5" s="1"/>
  <c r="AE59" i="5"/>
  <c r="AE349" i="5"/>
  <c r="AE378" i="5"/>
  <c r="AS222" i="5"/>
  <c r="AU222" i="5" s="1"/>
  <c r="AS336" i="5"/>
  <c r="AT336" i="5" s="1"/>
  <c r="AS21" i="5"/>
  <c r="AT21" i="5" s="1"/>
  <c r="AD21" i="5"/>
  <c r="AS148" i="5"/>
  <c r="AT148" i="5" s="1"/>
  <c r="AE248" i="5"/>
  <c r="AE188" i="5"/>
  <c r="AE137" i="5"/>
  <c r="AD59" i="5"/>
  <c r="AD374" i="5"/>
  <c r="AD32" i="5"/>
  <c r="AS478" i="5"/>
  <c r="AU478" i="5" s="1"/>
  <c r="AE223" i="5"/>
  <c r="AS374" i="5"/>
  <c r="AU374" i="5" s="1"/>
  <c r="AE455" i="5"/>
  <c r="AS32" i="5"/>
  <c r="AT32" i="5" s="1"/>
  <c r="AD478" i="5"/>
  <c r="AD223" i="5"/>
  <c r="AE199" i="5"/>
  <c r="AD303" i="5"/>
  <c r="AE313" i="5"/>
  <c r="AD481" i="5"/>
  <c r="AD237" i="5"/>
  <c r="AS363" i="5"/>
  <c r="AT363" i="5" s="1"/>
  <c r="AS378" i="5"/>
  <c r="AU378" i="5" s="1"/>
  <c r="AE222" i="5"/>
  <c r="AE69" i="5"/>
  <c r="AE543" i="5"/>
  <c r="AS301" i="5"/>
  <c r="AU301" i="5" s="1"/>
  <c r="AS455" i="5"/>
  <c r="AU455" i="5" s="1"/>
  <c r="AD453" i="5"/>
  <c r="AS48" i="5"/>
  <c r="AU48" i="5" s="1"/>
  <c r="AD138" i="5"/>
  <c r="AS138" i="5"/>
  <c r="AT138" i="5" s="1"/>
  <c r="AD360" i="5"/>
  <c r="AS477" i="5"/>
  <c r="AT477" i="5" s="1"/>
  <c r="AE333" i="5"/>
  <c r="AE477" i="5"/>
  <c r="AS94" i="5"/>
  <c r="AU94" i="5" s="1"/>
  <c r="AD194" i="5"/>
  <c r="AS306" i="5"/>
  <c r="AU306" i="5" s="1"/>
  <c r="AS494" i="5"/>
  <c r="AU494" i="5" s="1"/>
  <c r="AA96" i="4"/>
  <c r="AC96" i="4" s="1"/>
  <c r="AD96" i="4" s="1"/>
  <c r="AR96" i="4" s="1"/>
  <c r="AT96" i="4" s="1"/>
  <c r="AD94" i="5"/>
  <c r="AD333" i="5"/>
  <c r="AS360" i="5"/>
  <c r="AU360" i="5" s="1"/>
  <c r="AS259" i="5"/>
  <c r="AU259" i="5" s="1"/>
  <c r="AD460" i="5"/>
  <c r="AT147" i="5"/>
  <c r="AS194" i="5"/>
  <c r="AU194" i="5" s="1"/>
  <c r="AD306" i="5"/>
  <c r="AE494" i="5"/>
  <c r="AT54" i="5"/>
  <c r="AS158" i="5"/>
  <c r="AU158" i="5" s="1"/>
  <c r="AD54" i="5"/>
  <c r="AE173" i="5"/>
  <c r="AD269" i="5"/>
  <c r="AS119" i="5"/>
  <c r="AU119" i="5" s="1"/>
  <c r="AE186" i="5"/>
  <c r="AE460" i="5"/>
  <c r="AD475" i="5"/>
  <c r="AE399" i="5"/>
  <c r="AD398" i="5"/>
  <c r="AS475" i="5"/>
  <c r="AU475" i="5" s="1"/>
  <c r="AD536" i="5"/>
  <c r="AE165" i="5"/>
  <c r="AE125" i="5"/>
  <c r="AS186" i="5"/>
  <c r="AU186" i="5" s="1"/>
  <c r="AD399" i="5"/>
  <c r="AD456" i="5"/>
  <c r="AE54" i="5"/>
  <c r="AS425" i="5"/>
  <c r="AT425" i="5" s="1"/>
  <c r="AS55" i="5"/>
  <c r="AT55" i="5" s="1"/>
  <c r="AE135" i="4"/>
  <c r="AE533" i="5"/>
  <c r="AD31" i="5"/>
  <c r="AS440" i="5"/>
  <c r="AT440" i="5" s="1"/>
  <c r="AD366" i="5"/>
  <c r="AS462" i="5"/>
  <c r="AU462" i="5" s="1"/>
  <c r="AE65" i="5"/>
  <c r="AD436" i="5"/>
  <c r="AD400" i="5"/>
  <c r="AD296" i="5"/>
  <c r="AS283" i="5"/>
  <c r="AT283" i="5" s="1"/>
  <c r="AE269" i="5"/>
  <c r="AE241" i="5"/>
  <c r="AS517" i="5"/>
  <c r="AT517" i="5" s="1"/>
  <c r="AE208" i="5"/>
  <c r="AS140" i="5"/>
  <c r="AU140" i="5" s="1"/>
  <c r="AS556" i="5"/>
  <c r="AU556" i="5" s="1"/>
  <c r="AE22" i="5"/>
  <c r="AD151" i="5"/>
  <c r="AD226" i="5"/>
  <c r="AD466" i="5"/>
  <c r="AS62" i="5"/>
  <c r="AT62" i="5" s="1"/>
  <c r="AS354" i="5"/>
  <c r="AU354" i="5" s="1"/>
  <c r="AS309" i="5"/>
  <c r="AT309" i="5" s="1"/>
  <c r="AD401" i="5"/>
  <c r="AS325" i="5"/>
  <c r="AU325" i="5" s="1"/>
  <c r="X15" i="4"/>
  <c r="AJ15" i="4" s="1"/>
  <c r="AE210" i="5"/>
  <c r="AE151" i="5"/>
  <c r="AD472" i="5"/>
  <c r="AD112" i="5"/>
  <c r="AE551" i="5"/>
  <c r="AE309" i="5"/>
  <c r="AD486" i="5"/>
  <c r="AE112" i="5"/>
  <c r="AS551" i="5"/>
  <c r="AU551" i="5" s="1"/>
  <c r="AD245" i="5"/>
  <c r="AD277" i="5"/>
  <c r="AS116" i="5"/>
  <c r="AT116" i="5" s="1"/>
  <c r="AD325" i="5"/>
  <c r="AS504" i="5"/>
  <c r="AT504" i="5" s="1"/>
  <c r="AS210" i="5"/>
  <c r="AU210" i="5" s="1"/>
  <c r="AE304" i="5"/>
  <c r="AD327" i="5"/>
  <c r="AS452" i="5"/>
  <c r="AU452" i="5" s="1"/>
  <c r="AD504" i="5"/>
  <c r="AD304" i="5"/>
  <c r="AS245" i="5"/>
  <c r="AT245" i="5" s="1"/>
  <c r="AS46" i="5"/>
  <c r="AT46" i="5" s="1"/>
  <c r="AS277" i="5"/>
  <c r="AU277" i="5" s="1"/>
  <c r="AD158" i="5"/>
  <c r="AD46" i="5"/>
  <c r="AD116" i="5"/>
  <c r="AS438" i="5"/>
  <c r="AT438" i="5" s="1"/>
  <c r="AS244" i="5"/>
  <c r="AU244" i="5" s="1"/>
  <c r="AD189" i="5"/>
  <c r="AD40" i="5"/>
  <c r="AE502" i="5"/>
  <c r="AD38" i="5"/>
  <c r="AD180" i="5"/>
  <c r="AE101" i="5"/>
  <c r="AE480" i="5"/>
  <c r="AS548" i="5"/>
  <c r="AT548" i="5" s="1"/>
  <c r="AS36" i="5"/>
  <c r="AU36" i="5" s="1"/>
  <c r="AS502" i="5"/>
  <c r="AT502" i="5" s="1"/>
  <c r="AS310" i="5"/>
  <c r="AU310" i="5" s="1"/>
  <c r="AD142" i="5"/>
  <c r="AE76" i="5"/>
  <c r="AS308" i="5"/>
  <c r="AU308" i="5" s="1"/>
  <c r="AD338" i="5"/>
  <c r="AE142" i="5"/>
  <c r="AD274" i="5"/>
  <c r="AD238" i="5"/>
  <c r="AE19" i="5"/>
  <c r="AD150" i="5"/>
  <c r="AE544" i="5"/>
  <c r="AD450" i="5"/>
  <c r="AS115" i="5"/>
  <c r="AT115" i="5" s="1"/>
  <c r="AD295" i="5"/>
  <c r="AE115" i="5"/>
  <c r="AD491" i="5"/>
  <c r="AS150" i="5"/>
  <c r="AU150" i="5" s="1"/>
  <c r="AE552" i="5"/>
  <c r="AE517" i="5"/>
  <c r="AE341" i="5"/>
  <c r="AE25" i="5"/>
  <c r="AS552" i="5"/>
  <c r="AT552" i="5" s="1"/>
  <c r="AD241" i="5"/>
  <c r="AD298" i="5"/>
  <c r="AS25" i="5"/>
  <c r="AT25" i="5" s="1"/>
  <c r="AE298" i="5"/>
  <c r="AD451" i="5"/>
  <c r="AT202" i="5"/>
  <c r="AE202" i="5"/>
  <c r="AD202" i="5"/>
  <c r="AD208" i="5"/>
  <c r="AS451" i="5"/>
  <c r="AU451" i="5" s="1"/>
  <c r="AS267" i="5"/>
  <c r="AU267" i="5" s="1"/>
  <c r="AS174" i="5"/>
  <c r="AU174" i="5" s="1"/>
  <c r="AS104" i="5"/>
  <c r="AU104" i="5" s="1"/>
  <c r="AE145" i="5"/>
  <c r="AD104" i="5"/>
  <c r="AS178" i="5"/>
  <c r="AU178" i="5" s="1"/>
  <c r="AE113" i="5"/>
  <c r="AE200" i="5"/>
  <c r="AS533" i="5"/>
  <c r="AT533" i="5" s="1"/>
  <c r="AE216" i="5"/>
  <c r="AS120" i="5"/>
  <c r="AU120" i="5" s="1"/>
  <c r="AS501" i="5"/>
  <c r="AU501" i="5" s="1"/>
  <c r="AE456" i="5"/>
  <c r="AD421" i="5"/>
  <c r="AE120" i="5"/>
  <c r="AU78" i="5"/>
  <c r="AE351" i="5"/>
  <c r="AD275" i="5"/>
  <c r="AD440" i="5"/>
  <c r="AS400" i="5"/>
  <c r="AT400" i="5" s="1"/>
  <c r="AE203" i="5"/>
  <c r="AS366" i="5"/>
  <c r="AU366" i="5" s="1"/>
  <c r="AD216" i="5"/>
  <c r="AE434" i="5"/>
  <c r="AS390" i="5"/>
  <c r="AU390" i="5" s="1"/>
  <c r="AD383" i="5"/>
  <c r="AE275" i="5"/>
  <c r="AE181" i="5"/>
  <c r="AD260" i="5"/>
  <c r="AD434" i="5"/>
  <c r="AE384" i="5"/>
  <c r="AE425" i="5"/>
  <c r="AE390" i="5"/>
  <c r="AD165" i="5"/>
  <c r="AD335" i="5"/>
  <c r="AD506" i="5"/>
  <c r="AD181" i="5"/>
  <c r="AE260" i="5"/>
  <c r="AS383" i="5"/>
  <c r="AU383" i="5" s="1"/>
  <c r="AS492" i="5"/>
  <c r="AU492" i="5" s="1"/>
  <c r="AS384" i="5"/>
  <c r="AT384" i="5" s="1"/>
  <c r="AS335" i="5"/>
  <c r="AU335" i="5" s="1"/>
  <c r="AE506" i="5"/>
  <c r="AD492" i="5"/>
  <c r="AD353" i="5"/>
  <c r="AE495" i="5"/>
  <c r="AS193" i="5"/>
  <c r="AT193" i="5" s="1"/>
  <c r="AD114" i="5"/>
  <c r="AD495" i="5"/>
  <c r="AT81" i="5"/>
  <c r="AD283" i="5"/>
  <c r="AS114" i="5"/>
  <c r="AT114" i="5" s="1"/>
  <c r="AS420" i="5"/>
  <c r="AT420" i="5" s="1"/>
  <c r="AD441" i="5"/>
  <c r="AE462" i="5"/>
  <c r="AS441" i="5"/>
  <c r="AU441" i="5" s="1"/>
  <c r="AE420" i="5"/>
  <c r="AE278" i="5"/>
  <c r="AS60" i="5"/>
  <c r="AU60" i="5" s="1"/>
  <c r="X135" i="4"/>
  <c r="AJ135" i="4" s="1"/>
  <c r="AD278" i="5"/>
  <c r="AD81" i="5"/>
  <c r="AE122" i="5"/>
  <c r="AE49" i="5"/>
  <c r="AD70" i="5"/>
  <c r="AS122" i="5"/>
  <c r="AT122" i="5" s="1"/>
  <c r="AE81" i="5"/>
  <c r="AE78" i="5"/>
  <c r="AE60" i="5"/>
  <c r="AE36" i="5"/>
  <c r="AD356" i="5"/>
  <c r="AD310" i="5"/>
  <c r="AF125" i="4"/>
  <c r="AG125" i="4" s="1"/>
  <c r="AI125" i="4" s="1"/>
  <c r="AD127" i="5"/>
  <c r="AE356" i="5"/>
  <c r="AE125" i="4"/>
  <c r="AE127" i="5"/>
  <c r="AE143" i="5"/>
  <c r="AD343" i="5"/>
  <c r="AS314" i="5"/>
  <c r="AT314" i="5" s="1"/>
  <c r="AE343" i="5"/>
  <c r="AS50" i="5"/>
  <c r="AT50" i="5" s="1"/>
  <c r="AE342" i="5"/>
  <c r="X125" i="4"/>
  <c r="AJ125" i="4" s="1"/>
  <c r="AS143" i="5"/>
  <c r="AT143" i="5" s="1"/>
  <c r="AE12" i="5"/>
  <c r="AS541" i="5"/>
  <c r="AT541" i="5" s="1"/>
  <c r="AD50" i="5"/>
  <c r="AD428" i="5"/>
  <c r="AS12" i="5"/>
  <c r="AU12" i="5" s="1"/>
  <c r="AS496" i="5"/>
  <c r="AU496" i="5" s="1"/>
  <c r="AE496" i="5"/>
  <c r="AE314" i="5"/>
  <c r="AE38" i="5"/>
  <c r="AD342" i="5"/>
  <c r="AE308" i="5"/>
  <c r="AS77" i="5"/>
  <c r="AT77" i="5" s="1"/>
  <c r="AX77" i="5" s="1"/>
  <c r="AY77" i="5" s="1"/>
  <c r="AS476" i="5"/>
  <c r="AT476" i="5" s="1"/>
  <c r="AS405" i="5"/>
  <c r="AU405" i="5" s="1"/>
  <c r="AE106" i="5"/>
  <c r="AD244" i="5"/>
  <c r="AS295" i="5"/>
  <c r="AU295" i="5" s="1"/>
  <c r="AS76" i="5"/>
  <c r="AU76" i="5" s="1"/>
  <c r="AD438" i="5"/>
  <c r="AE405" i="5"/>
  <c r="AS106" i="5"/>
  <c r="AT106" i="5" s="1"/>
  <c r="AS134" i="5"/>
  <c r="AU134" i="5" s="1"/>
  <c r="AE180" i="5"/>
  <c r="AE476" i="5"/>
  <c r="AS90" i="5"/>
  <c r="AU90" i="5" s="1"/>
  <c r="AD282" i="5"/>
  <c r="AD528" i="5"/>
  <c r="X57" i="4"/>
  <c r="AJ57" i="4" s="1"/>
  <c r="AD77" i="5"/>
  <c r="AE57" i="4"/>
  <c r="AD239" i="5"/>
  <c r="AS24" i="5"/>
  <c r="AT24" i="5" s="1"/>
  <c r="AE338" i="5"/>
  <c r="AE274" i="5"/>
  <c r="AD294" i="5"/>
  <c r="AS239" i="5"/>
  <c r="AU239" i="5" s="1"/>
  <c r="AS293" i="5"/>
  <c r="AT293" i="5" s="1"/>
  <c r="AD262" i="5"/>
  <c r="AS44" i="5"/>
  <c r="AT44" i="5" s="1"/>
  <c r="AE294" i="5"/>
  <c r="AD217" i="5"/>
  <c r="AE247" i="5"/>
  <c r="AS238" i="5"/>
  <c r="AU238" i="5" s="1"/>
  <c r="AD293" i="5"/>
  <c r="AE189" i="5"/>
  <c r="AE262" i="5"/>
  <c r="AS344" i="5"/>
  <c r="AU344" i="5" s="1"/>
  <c r="AD101" i="5"/>
  <c r="AE44" i="5"/>
  <c r="AS394" i="5"/>
  <c r="AT394" i="5" s="1"/>
  <c r="AS19" i="5"/>
  <c r="AT19" i="5" s="1"/>
  <c r="AS453" i="5"/>
  <c r="AT453" i="5" s="1"/>
  <c r="AD548" i="5"/>
  <c r="AE148" i="5"/>
  <c r="AD197" i="5"/>
  <c r="AS220" i="5"/>
  <c r="AU220" i="5" s="1"/>
  <c r="AD544" i="5"/>
  <c r="AE450" i="5"/>
  <c r="AK96" i="4"/>
  <c r="AS217" i="5"/>
  <c r="AU217" i="5" s="1"/>
  <c r="AS197" i="5"/>
  <c r="AU197" i="5" s="1"/>
  <c r="AE220" i="5"/>
  <c r="AE266" i="5"/>
  <c r="AD257" i="5"/>
  <c r="AE436" i="5"/>
  <c r="AD174" i="5"/>
  <c r="AS410" i="5"/>
  <c r="AU410" i="5" s="1"/>
  <c r="AE34" i="5"/>
  <c r="AS132" i="5"/>
  <c r="AU132" i="5" s="1"/>
  <c r="AS27" i="5"/>
  <c r="AU27" i="5" s="1"/>
  <c r="AE133" i="5"/>
  <c r="AS126" i="5"/>
  <c r="AT126" i="5" s="1"/>
  <c r="AS416" i="5"/>
  <c r="AT416" i="5" s="1"/>
  <c r="AS385" i="5"/>
  <c r="AT385" i="5" s="1"/>
  <c r="AS111" i="5"/>
  <c r="AU111" i="5" s="1"/>
  <c r="AD133" i="5"/>
  <c r="AD267" i="5"/>
  <c r="AS68" i="5"/>
  <c r="AT68" i="5" s="1"/>
  <c r="AE416" i="5"/>
  <c r="AD27" i="5"/>
  <c r="AS447" i="5"/>
  <c r="AT447" i="5" s="1"/>
  <c r="AD385" i="5"/>
  <c r="AD350" i="5"/>
  <c r="AS350" i="5"/>
  <c r="AT350" i="5" s="1"/>
  <c r="AE375" i="5"/>
  <c r="AS179" i="5"/>
  <c r="AU179" i="5" s="1"/>
  <c r="AE35" i="5"/>
  <c r="AD73" i="5"/>
  <c r="AD29" i="5"/>
  <c r="AS155" i="5"/>
  <c r="AU155" i="5" s="1"/>
  <c r="AE505" i="5"/>
  <c r="AS369" i="5"/>
  <c r="AT369" i="5" s="1"/>
  <c r="AE43" i="5"/>
  <c r="AD155" i="5"/>
  <c r="AE68" i="5"/>
  <c r="AS73" i="5"/>
  <c r="AT73" i="5" s="1"/>
  <c r="AE111" i="5"/>
  <c r="AD369" i="5"/>
  <c r="AD341" i="5"/>
  <c r="AS505" i="5"/>
  <c r="AT505" i="5" s="1"/>
  <c r="AD126" i="5"/>
  <c r="AS388" i="5"/>
  <c r="AU388" i="5" s="1"/>
  <c r="AD465" i="5"/>
  <c r="AD132" i="5"/>
  <c r="AU257" i="5"/>
  <c r="AD125" i="5"/>
  <c r="AD529" i="5"/>
  <c r="AE296" i="5"/>
  <c r="AD253" i="5"/>
  <c r="AD228" i="5"/>
  <c r="AD55" i="5"/>
  <c r="AS529" i="5"/>
  <c r="AU529" i="5" s="1"/>
  <c r="AD499" i="5"/>
  <c r="AD168" i="5"/>
  <c r="AS228" i="5"/>
  <c r="AU228" i="5" s="1"/>
  <c r="AD236" i="5"/>
  <c r="AE499" i="5"/>
  <c r="AE403" i="5"/>
  <c r="AD33" i="5"/>
  <c r="AE147" i="5"/>
  <c r="AE157" i="5"/>
  <c r="AS168" i="5"/>
  <c r="AU168" i="5" s="1"/>
  <c r="AS99" i="5"/>
  <c r="AU99" i="5" s="1"/>
  <c r="AE253" i="5"/>
  <c r="AD66" i="5"/>
  <c r="AS473" i="5"/>
  <c r="AU473" i="5" s="1"/>
  <c r="AS236" i="5"/>
  <c r="AU236" i="5" s="1"/>
  <c r="AE214" i="5"/>
  <c r="AS141" i="5"/>
  <c r="AU141" i="5" s="1"/>
  <c r="AS404" i="5"/>
  <c r="AU404" i="5" s="1"/>
  <c r="AD268" i="5"/>
  <c r="AS403" i="5"/>
  <c r="AU403" i="5" s="1"/>
  <c r="AE33" i="5"/>
  <c r="AS218" i="5"/>
  <c r="AT218" i="5" s="1"/>
  <c r="AS398" i="5"/>
  <c r="AT398" i="5" s="1"/>
  <c r="AD173" i="5"/>
  <c r="AS66" i="5"/>
  <c r="AU66" i="5" s="1"/>
  <c r="AE473" i="5"/>
  <c r="AD119" i="5"/>
  <c r="AS214" i="5"/>
  <c r="AU214" i="5" s="1"/>
  <c r="AE141" i="5"/>
  <c r="AE404" i="5"/>
  <c r="AE268" i="5"/>
  <c r="AD259" i="5"/>
  <c r="AD266" i="5"/>
  <c r="AE257" i="5"/>
  <c r="AS229" i="5"/>
  <c r="AU229" i="5" s="1"/>
  <c r="AE229" i="5"/>
  <c r="AE536" i="5"/>
  <c r="AS108" i="5"/>
  <c r="AT108" i="5" s="1"/>
  <c r="AD218" i="5"/>
  <c r="AS65" i="5"/>
  <c r="AU65" i="5" s="1"/>
  <c r="AD147" i="5"/>
  <c r="AE99" i="5"/>
  <c r="AS157" i="5"/>
  <c r="AU157" i="5" s="1"/>
  <c r="AE541" i="5"/>
  <c r="AD90" i="5"/>
  <c r="AE282" i="5"/>
  <c r="AS468" i="5"/>
  <c r="AT468" i="5" s="1"/>
  <c r="AS528" i="5"/>
  <c r="AU528" i="5" s="1"/>
  <c r="AD134" i="5"/>
  <c r="AS428" i="5"/>
  <c r="AU428" i="5" s="1"/>
  <c r="AE468" i="5"/>
  <c r="AS198" i="5"/>
  <c r="AT198" i="5" s="1"/>
  <c r="AD513" i="5"/>
  <c r="AE329" i="5"/>
  <c r="AS285" i="5"/>
  <c r="AT285" i="5" s="1"/>
  <c r="AE521" i="5"/>
  <c r="AE380" i="5"/>
  <c r="AS513" i="5"/>
  <c r="AU513" i="5" s="1"/>
  <c r="AE331" i="5"/>
  <c r="AD395" i="5"/>
  <c r="AS318" i="5"/>
  <c r="AU318" i="5" s="1"/>
  <c r="AD329" i="5"/>
  <c r="AD83" i="5"/>
  <c r="AE285" i="5"/>
  <c r="AD521" i="5"/>
  <c r="AE198" i="5"/>
  <c r="AD255" i="5"/>
  <c r="AE471" i="5"/>
  <c r="AD471" i="5"/>
  <c r="AD380" i="5"/>
  <c r="AD331" i="5"/>
  <c r="AE395" i="5"/>
  <c r="AE318" i="5"/>
  <c r="AS270" i="5"/>
  <c r="AT270" i="5" s="1"/>
  <c r="AD427" i="5"/>
  <c r="AE83" i="5"/>
  <c r="AS402" i="5"/>
  <c r="AU402" i="5" s="1"/>
  <c r="AD270" i="5"/>
  <c r="AE427" i="5"/>
  <c r="AE402" i="5"/>
  <c r="AS255" i="5"/>
  <c r="AT255" i="5" s="1"/>
  <c r="Y39" i="4"/>
  <c r="Z39" i="4" s="1"/>
  <c r="AF39" i="4" s="1"/>
  <c r="AE62" i="5"/>
  <c r="AS205" i="5"/>
  <c r="AT205" i="5" s="1"/>
  <c r="AD251" i="5"/>
  <c r="AU175" i="5"/>
  <c r="AS82" i="5"/>
  <c r="AU82" i="5" s="1"/>
  <c r="AE39" i="4"/>
  <c r="AS401" i="5"/>
  <c r="AU401" i="5" s="1"/>
  <c r="AS437" i="5"/>
  <c r="AT437" i="5" s="1"/>
  <c r="AD82" i="5"/>
  <c r="AE437" i="5"/>
  <c r="AE251" i="5"/>
  <c r="AD424" i="5"/>
  <c r="AS387" i="5"/>
  <c r="AT387" i="5" s="1"/>
  <c r="AS103" i="5"/>
  <c r="AT103" i="5" s="1"/>
  <c r="AE175" i="5"/>
  <c r="AD381" i="5"/>
  <c r="AE424" i="5"/>
  <c r="AS316" i="5"/>
  <c r="AU316" i="5" s="1"/>
  <c r="AD7" i="5"/>
  <c r="B215" i="2" s="1"/>
  <c r="B216" i="2" s="1"/>
  <c r="B217" i="2" s="1"/>
  <c r="B227" i="2" s="1"/>
  <c r="B229" i="2" s="1"/>
  <c r="AE381" i="5"/>
  <c r="AD67" i="5"/>
  <c r="AE509" i="5"/>
  <c r="AD316" i="5"/>
  <c r="AS67" i="5"/>
  <c r="AU67" i="5" s="1"/>
  <c r="AS486" i="5"/>
  <c r="AU486" i="5" s="1"/>
  <c r="AE7" i="5"/>
  <c r="AS472" i="5"/>
  <c r="AT472" i="5" s="1"/>
  <c r="AE103" i="5"/>
  <c r="AD175" i="5"/>
  <c r="AD410" i="5"/>
  <c r="AE339" i="5"/>
  <c r="AS558" i="5"/>
  <c r="AU558" i="5" s="1"/>
  <c r="AE555" i="5"/>
  <c r="AE515" i="5"/>
  <c r="AD553" i="5"/>
  <c r="AD339" i="5"/>
  <c r="AE178" i="5"/>
  <c r="AE72" i="5"/>
  <c r="X12" i="4"/>
  <c r="AJ12" i="4" s="1"/>
  <c r="AD34" i="5"/>
  <c r="AE558" i="5"/>
  <c r="AS555" i="5"/>
  <c r="AU555" i="5" s="1"/>
  <c r="AE553" i="5"/>
  <c r="AS128" i="5"/>
  <c r="AT128" i="5" s="1"/>
  <c r="AE209" i="5"/>
  <c r="AD388" i="5"/>
  <c r="AE406" i="5"/>
  <c r="AD498" i="5"/>
  <c r="AD515" i="5"/>
  <c r="AD433" i="5"/>
  <c r="AE498" i="5"/>
  <c r="AS411" i="5"/>
  <c r="AU411" i="5" s="1"/>
  <c r="AS321" i="5"/>
  <c r="AU321" i="5" s="1"/>
  <c r="AE377" i="5"/>
  <c r="AE153" i="5"/>
  <c r="AE263" i="5"/>
  <c r="AE75" i="5"/>
  <c r="AE102" i="5"/>
  <c r="AD193" i="5"/>
  <c r="AE128" i="5"/>
  <c r="AS102" i="5"/>
  <c r="AT102" i="5" s="1"/>
  <c r="AD110" i="5"/>
  <c r="Y12" i="4"/>
  <c r="Z12" i="4" s="1"/>
  <c r="AK12" i="4" s="1"/>
  <c r="AD411" i="5"/>
  <c r="AS263" i="5"/>
  <c r="AU263" i="5" s="1"/>
  <c r="AS75" i="5"/>
  <c r="AU75" i="5" s="1"/>
  <c r="AS209" i="5"/>
  <c r="AT209" i="5" s="1"/>
  <c r="AE171" i="5"/>
  <c r="AE433" i="5"/>
  <c r="AS29" i="5"/>
  <c r="AT29" i="5" s="1"/>
  <c r="AS377" i="5"/>
  <c r="AU377" i="5" s="1"/>
  <c r="AS153" i="5"/>
  <c r="AT153" i="5" s="1"/>
  <c r="AE465" i="5"/>
  <c r="AD43" i="5"/>
  <c r="AD179" i="5"/>
  <c r="AS110" i="5"/>
  <c r="AU110" i="5" s="1"/>
  <c r="AE447" i="5"/>
  <c r="AD171" i="5"/>
  <c r="AS35" i="5"/>
  <c r="AT35" i="5" s="1"/>
  <c r="AS375" i="5"/>
  <c r="AT375" i="5" s="1"/>
  <c r="AE182" i="5"/>
  <c r="AD78" i="5"/>
  <c r="AS20" i="5"/>
  <c r="AT20" i="5" s="1"/>
  <c r="AD69" i="5"/>
  <c r="AE135" i="5"/>
  <c r="AD414" i="5"/>
  <c r="AE481" i="5"/>
  <c r="AD560" i="5"/>
  <c r="AS240" i="5"/>
  <c r="AT240" i="5" s="1"/>
  <c r="AE129" i="5"/>
  <c r="AD135" i="5"/>
  <c r="AE394" i="5"/>
  <c r="AD362" i="5"/>
  <c r="AS414" i="5"/>
  <c r="AT414" i="5" s="1"/>
  <c r="AD204" i="5"/>
  <c r="AS560" i="5"/>
  <c r="AT560" i="5" s="1"/>
  <c r="AS231" i="5"/>
  <c r="AU231" i="5" s="1"/>
  <c r="AS219" i="5"/>
  <c r="AT219" i="5" s="1"/>
  <c r="AS129" i="5"/>
  <c r="AT129" i="5" s="1"/>
  <c r="AE201" i="5"/>
  <c r="AD93" i="5"/>
  <c r="AE362" i="5"/>
  <c r="AS53" i="5"/>
  <c r="AT53" i="5" s="1"/>
  <c r="AS204" i="5"/>
  <c r="AT204" i="5" s="1"/>
  <c r="AE231" i="5"/>
  <c r="AE240" i="5"/>
  <c r="AE163" i="5"/>
  <c r="AD53" i="5"/>
  <c r="AD219" i="5"/>
  <c r="AS93" i="5"/>
  <c r="AT93" i="5" s="1"/>
  <c r="AS199" i="5"/>
  <c r="AT199" i="5" s="1"/>
  <c r="AE344" i="5"/>
  <c r="AS163" i="5"/>
  <c r="AT163" i="5" s="1"/>
  <c r="AS247" i="5"/>
  <c r="AT247" i="5" s="1"/>
  <c r="AE321" i="5"/>
  <c r="AD320" i="5"/>
  <c r="AS291" i="5"/>
  <c r="AU291" i="5" s="1"/>
  <c r="AE108" i="5"/>
  <c r="AD348" i="5"/>
  <c r="AS320" i="5"/>
  <c r="AT320" i="5" s="1"/>
  <c r="AD291" i="5"/>
  <c r="AE183" i="5"/>
  <c r="AE348" i="5"/>
  <c r="AU182" i="5"/>
  <c r="AT72" i="5"/>
  <c r="AE413" i="5"/>
  <c r="AD182" i="5"/>
  <c r="AD413" i="5"/>
  <c r="AD72" i="5"/>
  <c r="AS406" i="5"/>
  <c r="AT406" i="5" s="1"/>
  <c r="AS480" i="5"/>
  <c r="AT480" i="5" s="1"/>
  <c r="AD45" i="5"/>
  <c r="AE317" i="5"/>
  <c r="AE20" i="5"/>
  <c r="AD317" i="5"/>
  <c r="AS272" i="5"/>
  <c r="AU272" i="5" s="1"/>
  <c r="Y26" i="4"/>
  <c r="Z26" i="4" s="1"/>
  <c r="X26" i="4"/>
  <c r="AJ26" i="4" s="1"/>
  <c r="AE26" i="4"/>
  <c r="AD272" i="5"/>
  <c r="AS45" i="5"/>
  <c r="AT45" i="5" s="1"/>
  <c r="AE323" i="5"/>
  <c r="AE559" i="5"/>
  <c r="AS323" i="5"/>
  <c r="AU323" i="5" s="1"/>
  <c r="AS559" i="5"/>
  <c r="AU559" i="5" s="1"/>
  <c r="AS409" i="5"/>
  <c r="AU409" i="5" s="1"/>
  <c r="AE387" i="5"/>
  <c r="AD409" i="5"/>
  <c r="AR11" i="5"/>
  <c r="Y22" i="4"/>
  <c r="Z22" i="4" s="1"/>
  <c r="AA22" i="4" s="1"/>
  <c r="AC22" i="4" s="1"/>
  <c r="AD22" i="4" s="1"/>
  <c r="AE22" i="4"/>
  <c r="AE129" i="4"/>
  <c r="X72" i="4"/>
  <c r="AJ72" i="4" s="1"/>
  <c r="AE72" i="4"/>
  <c r="AO72" i="4"/>
  <c r="AS11" i="5"/>
  <c r="AU11" i="5" s="1"/>
  <c r="Y148" i="4"/>
  <c r="Z148" i="4" s="1"/>
  <c r="AF148" i="4" s="1"/>
  <c r="AE148" i="4"/>
  <c r="Y109" i="4"/>
  <c r="Z109" i="4" s="1"/>
  <c r="AF109" i="4" s="1"/>
  <c r="AE109" i="4"/>
  <c r="AA143" i="4"/>
  <c r="AC143" i="4" s="1"/>
  <c r="AD143" i="4" s="1"/>
  <c r="AT127" i="5"/>
  <c r="AS287" i="5"/>
  <c r="AT287" i="5" s="1"/>
  <c r="AA42" i="4"/>
  <c r="AC42" i="4" s="1"/>
  <c r="AD42" i="4" s="1"/>
  <c r="AQ9" i="5"/>
  <c r="AE79" i="4"/>
  <c r="X129" i="4"/>
  <c r="AJ129" i="4" s="1"/>
  <c r="AF152" i="4"/>
  <c r="AG152" i="4" s="1"/>
  <c r="AI152" i="4" s="1"/>
  <c r="AS249" i="5"/>
  <c r="AU249" i="5" s="1"/>
  <c r="AF67" i="4"/>
  <c r="AG67" i="4" s="1"/>
  <c r="AI67" i="4" s="1"/>
  <c r="AE67" i="4"/>
  <c r="X67" i="4"/>
  <c r="AA67" i="4" s="1"/>
  <c r="AC67" i="4" s="1"/>
  <c r="AD67" i="4" s="1"/>
  <c r="X79" i="4"/>
  <c r="AJ79" i="4" s="1"/>
  <c r="AD130" i="5"/>
  <c r="AD449" i="5"/>
  <c r="X152" i="4"/>
  <c r="AA152" i="4" s="1"/>
  <c r="AC152" i="4" s="1"/>
  <c r="AD152" i="4" s="1"/>
  <c r="AK143" i="4"/>
  <c r="AE152" i="4"/>
  <c r="Y34" i="4"/>
  <c r="Z34" i="4" s="1"/>
  <c r="AE34" i="4"/>
  <c r="X34" i="4"/>
  <c r="AJ34" i="4" s="1"/>
  <c r="X133" i="4"/>
  <c r="AJ133" i="4" s="1"/>
  <c r="AE133" i="4"/>
  <c r="Y133" i="4"/>
  <c r="Z133" i="4" s="1"/>
  <c r="Y21" i="4"/>
  <c r="Z21" i="4" s="1"/>
  <c r="AE21" i="4"/>
  <c r="X21" i="4"/>
  <c r="AJ21" i="4" s="1"/>
  <c r="Y58" i="4"/>
  <c r="Z58" i="4" s="1"/>
  <c r="X58" i="4"/>
  <c r="AJ58" i="4" s="1"/>
  <c r="AE58" i="4"/>
  <c r="Y144" i="4"/>
  <c r="X144" i="4"/>
  <c r="AE144" i="4"/>
  <c r="Y24" i="4"/>
  <c r="Z24" i="4" s="1"/>
  <c r="AE24" i="4"/>
  <c r="X24" i="4"/>
  <c r="Y83" i="4"/>
  <c r="Z83" i="4" s="1"/>
  <c r="AE83" i="4"/>
  <c r="AE62" i="4"/>
  <c r="Y62" i="4"/>
  <c r="Z62" i="4" s="1"/>
  <c r="Y101" i="4"/>
  <c r="Z101" i="4" s="1"/>
  <c r="X101" i="4"/>
  <c r="AJ101" i="4" s="1"/>
  <c r="AE101" i="4"/>
  <c r="AF79" i="4"/>
  <c r="Y132" i="4"/>
  <c r="Z132" i="4" s="1"/>
  <c r="AF132" i="4" s="1"/>
  <c r="AE132" i="4"/>
  <c r="X132" i="4"/>
  <c r="Y94" i="4"/>
  <c r="Z94" i="4" s="1"/>
  <c r="X94" i="4"/>
  <c r="AA140" i="4"/>
  <c r="AC140" i="4" s="1"/>
  <c r="AD140" i="4" s="1"/>
  <c r="AK140" i="4"/>
  <c r="AF140" i="4"/>
  <c r="X62" i="4"/>
  <c r="AJ62" i="4" s="1"/>
  <c r="X83" i="4"/>
  <c r="AJ83" i="4" s="1"/>
  <c r="X141" i="4"/>
  <c r="AJ141" i="4" s="1"/>
  <c r="Y141" i="4"/>
  <c r="AE141" i="4"/>
  <c r="Y59" i="4"/>
  <c r="Z59" i="4" s="1"/>
  <c r="AE59" i="4"/>
  <c r="Y10" i="4"/>
  <c r="Z10" i="4" s="1"/>
  <c r="X10" i="4"/>
  <c r="AJ10" i="4" s="1"/>
  <c r="AE10" i="4"/>
  <c r="Y130" i="4"/>
  <c r="X130" i="4"/>
  <c r="AE130" i="4"/>
  <c r="X155" i="4"/>
  <c r="Y155" i="4"/>
  <c r="AF105" i="4"/>
  <c r="AA105" i="4"/>
  <c r="AC105" i="4" s="1"/>
  <c r="AD105" i="4" s="1"/>
  <c r="AK105" i="4"/>
  <c r="AD287" i="5"/>
  <c r="AD249" i="5"/>
  <c r="AE449" i="5"/>
  <c r="AE292" i="5"/>
  <c r="AS393" i="5"/>
  <c r="AT393" i="5" s="1"/>
  <c r="AS292" i="5"/>
  <c r="AU292" i="5" s="1"/>
  <c r="AS391" i="5"/>
  <c r="AT391" i="5" s="1"/>
  <c r="AD393" i="5"/>
  <c r="AE391" i="5"/>
  <c r="AA84" i="4"/>
  <c r="AC84" i="4" s="1"/>
  <c r="AD84" i="4" s="1"/>
  <c r="AK84" i="4"/>
  <c r="AF84" i="4"/>
  <c r="AE286" i="5"/>
  <c r="AD286" i="5"/>
  <c r="AS162" i="5"/>
  <c r="AT162" i="5" s="1"/>
  <c r="AD123" i="5"/>
  <c r="AD74" i="5"/>
  <c r="AG143" i="4"/>
  <c r="AI143" i="4" s="1"/>
  <c r="AO143" i="4"/>
  <c r="AD11" i="5"/>
  <c r="AG75" i="4"/>
  <c r="AI75" i="4" s="1"/>
  <c r="AE11" i="5"/>
  <c r="AS235" i="5"/>
  <c r="AU235" i="5" s="1"/>
  <c r="AE10" i="5"/>
  <c r="AS10" i="5"/>
  <c r="AU10" i="5" s="1"/>
  <c r="AD235" i="5"/>
  <c r="AE123" i="5"/>
  <c r="AE74" i="5"/>
  <c r="AE162" i="5"/>
  <c r="AS299" i="5"/>
  <c r="AU299" i="5" s="1"/>
  <c r="AO108" i="4"/>
  <c r="AA32" i="4"/>
  <c r="AC32" i="4" s="1"/>
  <c r="AD32" i="4" s="1"/>
  <c r="AD557" i="5"/>
  <c r="AE549" i="5"/>
  <c r="AE271" i="5"/>
  <c r="AD311" i="5"/>
  <c r="AS8" i="5"/>
  <c r="AT8" i="5" s="1"/>
  <c r="AK99" i="4"/>
  <c r="AS169" i="5"/>
  <c r="AT169" i="5" s="1"/>
  <c r="AE340" i="5"/>
  <c r="AD397" i="5"/>
  <c r="AD538" i="5"/>
  <c r="AE407" i="5"/>
  <c r="AD176" i="5"/>
  <c r="AE311" i="5"/>
  <c r="AE130" i="5"/>
  <c r="AS340" i="5"/>
  <c r="AU340" i="5" s="1"/>
  <c r="AE412" i="5"/>
  <c r="AS271" i="5"/>
  <c r="AT271" i="5" s="1"/>
  <c r="AD445" i="5"/>
  <c r="AS95" i="5"/>
  <c r="AT95" i="5" s="1"/>
  <c r="AE538" i="5"/>
  <c r="AS412" i="5"/>
  <c r="AT412" i="5" s="1"/>
  <c r="AD334" i="5"/>
  <c r="AE445" i="5"/>
  <c r="AD95" i="5"/>
  <c r="AD458" i="5"/>
  <c r="AS79" i="5"/>
  <c r="AT79" i="5" s="1"/>
  <c r="AX78" i="5" s="1"/>
  <c r="AY78" i="5" s="1"/>
  <c r="AE52" i="5"/>
  <c r="AS458" i="5"/>
  <c r="AU458" i="5" s="1"/>
  <c r="AE79" i="5"/>
  <c r="AS52" i="5"/>
  <c r="AU52" i="5" s="1"/>
  <c r="AD233" i="5"/>
  <c r="AE510" i="5"/>
  <c r="AE467" i="5"/>
  <c r="AS233" i="5"/>
  <c r="AU233" i="5" s="1"/>
  <c r="AS396" i="5"/>
  <c r="AT396" i="5" s="1"/>
  <c r="AD169" i="5"/>
  <c r="AS510" i="5"/>
  <c r="AU510" i="5" s="1"/>
  <c r="AD467" i="5"/>
  <c r="AE299" i="5"/>
  <c r="AD396" i="5"/>
  <c r="AE397" i="5"/>
  <c r="AS443" i="5"/>
  <c r="AU443" i="5" s="1"/>
  <c r="AE373" i="5"/>
  <c r="AD448" i="5"/>
  <c r="AS364" i="5"/>
  <c r="AT364" i="5" s="1"/>
  <c r="AE215" i="5"/>
  <c r="AD215" i="5"/>
  <c r="AS549" i="5"/>
  <c r="AU549" i="5" s="1"/>
  <c r="AE557" i="5"/>
  <c r="AE448" i="5"/>
  <c r="AD364" i="5"/>
  <c r="AS56" i="5"/>
  <c r="AU56" i="5" s="1"/>
  <c r="AE370" i="5"/>
  <c r="AE107" i="5"/>
  <c r="AE57" i="5"/>
  <c r="AD39" i="5"/>
  <c r="AS191" i="5"/>
  <c r="AU191" i="5" s="1"/>
  <c r="AE172" i="5"/>
  <c r="AS490" i="5"/>
  <c r="AT490" i="5" s="1"/>
  <c r="AD464" i="5"/>
  <c r="AD373" i="5"/>
  <c r="AS539" i="5"/>
  <c r="AT539" i="5" s="1"/>
  <c r="AD443" i="5"/>
  <c r="AS550" i="5"/>
  <c r="AU550" i="5" s="1"/>
  <c r="AS503" i="5"/>
  <c r="AT503" i="5" s="1"/>
  <c r="AE490" i="5"/>
  <c r="AE539" i="5"/>
  <c r="AE550" i="5"/>
  <c r="AD290" i="5"/>
  <c r="AE464" i="5"/>
  <c r="AE252" i="5"/>
  <c r="AD96" i="5"/>
  <c r="AS154" i="5"/>
  <c r="AU154" i="5" s="1"/>
  <c r="AE290" i="5"/>
  <c r="AD370" i="5"/>
  <c r="AS230" i="5"/>
  <c r="AT230" i="5" s="1"/>
  <c r="AD252" i="5"/>
  <c r="AS96" i="5"/>
  <c r="AU96" i="5" s="1"/>
  <c r="AE154" i="5"/>
  <c r="AD542" i="5"/>
  <c r="AS457" i="5"/>
  <c r="AT457" i="5" s="1"/>
  <c r="AE457" i="5"/>
  <c r="AE230" i="5"/>
  <c r="AS542" i="5"/>
  <c r="AU542" i="5" s="1"/>
  <c r="AD191" i="5"/>
  <c r="AS57" i="5"/>
  <c r="AT57" i="5" s="1"/>
  <c r="AS207" i="5"/>
  <c r="AU207" i="5" s="1"/>
  <c r="AE207" i="5"/>
  <c r="AE212" i="5"/>
  <c r="AD284" i="5"/>
  <c r="AD212" i="5"/>
  <c r="AE418" i="5"/>
  <c r="AE85" i="5"/>
  <c r="AS196" i="5"/>
  <c r="AU196" i="5" s="1"/>
  <c r="AS352" i="5"/>
  <c r="AU352" i="5" s="1"/>
  <c r="AE161" i="5"/>
  <c r="AE64" i="5"/>
  <c r="AD547" i="5"/>
  <c r="AE288" i="5"/>
  <c r="AD187" i="5"/>
  <c r="AD435" i="5"/>
  <c r="AE305" i="5"/>
  <c r="AE187" i="5"/>
  <c r="AS435" i="5"/>
  <c r="AT435" i="5" s="1"/>
  <c r="AD305" i="5"/>
  <c r="AD71" i="5"/>
  <c r="AD315" i="5"/>
  <c r="AS315" i="5"/>
  <c r="AT315" i="5" s="1"/>
  <c r="AE250" i="5"/>
  <c r="AE156" i="5"/>
  <c r="AS346" i="5"/>
  <c r="AT346" i="5" s="1"/>
  <c r="AD149" i="5"/>
  <c r="AE312" i="5"/>
  <c r="AS124" i="5"/>
  <c r="AU124" i="5" s="1"/>
  <c r="AD367" i="5"/>
  <c r="AE124" i="5"/>
  <c r="AE526" i="5"/>
  <c r="AS307" i="5"/>
  <c r="AT307" i="5" s="1"/>
  <c r="AS211" i="5"/>
  <c r="AT211" i="5" s="1"/>
  <c r="AS526" i="5"/>
  <c r="AU526" i="5" s="1"/>
  <c r="AE531" i="5"/>
  <c r="AD312" i="5"/>
  <c r="AD225" i="5"/>
  <c r="AD159" i="5"/>
  <c r="AS330" i="5"/>
  <c r="AT330" i="5" s="1"/>
  <c r="AD485" i="5"/>
  <c r="AS419" i="5"/>
  <c r="AU419" i="5" s="1"/>
  <c r="AD330" i="5"/>
  <c r="AE485" i="5"/>
  <c r="AS139" i="5"/>
  <c r="AT139" i="5" s="1"/>
  <c r="AS185" i="5"/>
  <c r="AT185" i="5" s="1"/>
  <c r="AS519" i="5"/>
  <c r="AU519" i="5" s="1"/>
  <c r="AS227" i="5"/>
  <c r="AU227" i="5" s="1"/>
  <c r="AE246" i="5"/>
  <c r="AE224" i="5"/>
  <c r="AD47" i="5"/>
  <c r="AS487" i="5"/>
  <c r="AU487" i="5" s="1"/>
  <c r="AA124" i="4"/>
  <c r="AC124" i="4" s="1"/>
  <c r="AD124" i="4" s="1"/>
  <c r="AE487" i="5"/>
  <c r="AE326" i="5"/>
  <c r="AD167" i="5"/>
  <c r="AD28" i="5"/>
  <c r="AS326" i="5"/>
  <c r="AU326" i="5" s="1"/>
  <c r="AE118" i="5"/>
  <c r="AE176" i="5"/>
  <c r="AS407" i="5"/>
  <c r="AT407" i="5" s="1"/>
  <c r="AS39" i="5"/>
  <c r="AT39" i="5" s="1"/>
  <c r="AE98" i="5"/>
  <c r="AS172" i="5"/>
  <c r="AU172" i="5" s="1"/>
  <c r="AE284" i="5"/>
  <c r="AS547" i="5"/>
  <c r="AU547" i="5" s="1"/>
  <c r="AD488" i="5"/>
  <c r="AS418" i="5"/>
  <c r="AT418" i="5" s="1"/>
  <c r="AE196" i="5"/>
  <c r="AS357" i="5"/>
  <c r="AU357" i="5" s="1"/>
  <c r="AD358" i="5"/>
  <c r="AS98" i="5"/>
  <c r="AT98" i="5" s="1"/>
  <c r="AE488" i="5"/>
  <c r="AD357" i="5"/>
  <c r="AD144" i="5"/>
  <c r="AS322" i="5"/>
  <c r="AT322" i="5" s="1"/>
  <c r="AE144" i="5"/>
  <c r="AS107" i="5"/>
  <c r="AU107" i="5" s="1"/>
  <c r="AE352" i="5"/>
  <c r="AD85" i="5"/>
  <c r="AD322" i="5"/>
  <c r="AD161" i="5"/>
  <c r="AS64" i="5"/>
  <c r="AT64" i="5" s="1"/>
  <c r="AD8" i="5"/>
  <c r="AD139" i="5"/>
  <c r="AE346" i="5"/>
  <c r="AE423" i="5"/>
  <c r="AE185" i="5"/>
  <c r="AE419" i="5"/>
  <c r="AE159" i="5"/>
  <c r="AE227" i="5"/>
  <c r="AD37" i="5"/>
  <c r="AS246" i="5"/>
  <c r="AU246" i="5" s="1"/>
  <c r="AD524" i="5"/>
  <c r="AS423" i="5"/>
  <c r="AU423" i="5" s="1"/>
  <c r="AE37" i="5"/>
  <c r="AE524" i="5"/>
  <c r="AE319" i="5"/>
  <c r="AE100" i="5"/>
  <c r="AD319" i="5"/>
  <c r="AD273" i="5"/>
  <c r="AE442" i="5"/>
  <c r="AS225" i="5"/>
  <c r="AT225" i="5" s="1"/>
  <c r="AD100" i="5"/>
  <c r="AS273" i="5"/>
  <c r="AT273" i="5" s="1"/>
  <c r="AS281" i="5"/>
  <c r="AT281" i="5" s="1"/>
  <c r="AE408" i="5"/>
  <c r="AS442" i="5"/>
  <c r="AU442" i="5" s="1"/>
  <c r="AD281" i="5"/>
  <c r="AE535" i="5"/>
  <c r="AD86" i="5"/>
  <c r="AS535" i="5"/>
  <c r="AU535" i="5" s="1"/>
  <c r="AE489" i="5"/>
  <c r="AO68" i="4"/>
  <c r="AD489" i="5"/>
  <c r="AS224" i="5"/>
  <c r="AT224" i="5" s="1"/>
  <c r="AE61" i="5"/>
  <c r="AK68" i="4"/>
  <c r="AE355" i="5"/>
  <c r="AE430" i="5"/>
  <c r="AS61" i="5"/>
  <c r="AU61" i="5" s="1"/>
  <c r="AE177" i="5"/>
  <c r="AS28" i="5"/>
  <c r="AU28" i="5" s="1"/>
  <c r="AS355" i="5"/>
  <c r="AT355" i="5" s="1"/>
  <c r="AS430" i="5"/>
  <c r="AU430" i="5" s="1"/>
  <c r="AD256" i="5"/>
  <c r="AE337" i="5"/>
  <c r="AD389" i="5"/>
  <c r="AD56" i="5"/>
  <c r="AD307" i="5"/>
  <c r="AD211" i="5"/>
  <c r="AG103" i="4"/>
  <c r="AI103" i="4" s="1"/>
  <c r="AD87" i="5"/>
  <c r="AE493" i="5"/>
  <c r="AA68" i="4"/>
  <c r="AC68" i="4" s="1"/>
  <c r="AD68" i="4" s="1"/>
  <c r="AA19" i="4"/>
  <c r="AC19" i="4" s="1"/>
  <c r="AD19" i="4" s="1"/>
  <c r="AR19" i="4" s="1"/>
  <c r="AT19" i="4" s="1"/>
  <c r="AS493" i="5"/>
  <c r="AT493" i="5" s="1"/>
  <c r="AS195" i="5"/>
  <c r="AT195" i="5" s="1"/>
  <c r="AS92" i="5"/>
  <c r="AT92" i="5" s="1"/>
  <c r="AS190" i="5"/>
  <c r="AU190" i="5" s="1"/>
  <c r="AS30" i="5"/>
  <c r="AU30" i="5" s="1"/>
  <c r="AD195" i="5"/>
  <c r="AK103" i="4"/>
  <c r="AE190" i="5"/>
  <c r="AE30" i="5"/>
  <c r="AS41" i="5"/>
  <c r="AU41" i="5" s="1"/>
  <c r="AD439" i="5"/>
  <c r="AD192" i="5"/>
  <c r="AS86" i="5"/>
  <c r="AT86" i="5" s="1"/>
  <c r="AS177" i="5"/>
  <c r="AT177" i="5" s="1"/>
  <c r="AS164" i="5"/>
  <c r="AU164" i="5" s="1"/>
  <c r="AD164" i="5"/>
  <c r="AE461" i="5"/>
  <c r="AE192" i="5"/>
  <c r="AE347" i="5"/>
  <c r="AE146" i="5"/>
  <c r="AE41" i="5"/>
  <c r="AD51" i="5"/>
  <c r="AS527" i="5"/>
  <c r="AU527" i="5" s="1"/>
  <c r="AD337" i="5"/>
  <c r="AE87" i="5"/>
  <c r="AK82" i="4"/>
  <c r="AD461" i="5"/>
  <c r="AS367" i="5"/>
  <c r="AU367" i="5" s="1"/>
  <c r="AS51" i="5"/>
  <c r="AU51" i="5" s="1"/>
  <c r="AA120" i="4"/>
  <c r="AC120" i="4" s="1"/>
  <c r="AD120" i="4" s="1"/>
  <c r="AA99" i="4"/>
  <c r="AC99" i="4" s="1"/>
  <c r="AD99" i="4" s="1"/>
  <c r="AD527" i="5"/>
  <c r="AD408" i="5"/>
  <c r="AS389" i="5"/>
  <c r="AT389" i="5" s="1"/>
  <c r="AA103" i="4"/>
  <c r="AC103" i="4" s="1"/>
  <c r="AD103" i="4" s="1"/>
  <c r="AK102" i="4"/>
  <c r="AS368" i="5"/>
  <c r="AT368" i="5" s="1"/>
  <c r="AE368" i="5"/>
  <c r="AE63" i="5"/>
  <c r="AE131" i="5"/>
  <c r="AS131" i="5"/>
  <c r="AT131" i="5" s="1"/>
  <c r="AE167" i="5"/>
  <c r="AD347" i="5"/>
  <c r="AD146" i="5"/>
  <c r="AD63" i="5"/>
  <c r="AS439" i="5"/>
  <c r="AT439" i="5" s="1"/>
  <c r="AG97" i="4"/>
  <c r="AI97" i="4" s="1"/>
  <c r="AA45" i="4"/>
  <c r="AC45" i="4" s="1"/>
  <c r="AD45" i="4" s="1"/>
  <c r="AA102" i="4"/>
  <c r="AC102" i="4" s="1"/>
  <c r="AD102" i="4" s="1"/>
  <c r="AS156" i="5"/>
  <c r="AU156" i="5" s="1"/>
  <c r="AS71" i="5"/>
  <c r="AT71" i="5" s="1"/>
  <c r="AD170" i="5"/>
  <c r="AE170" i="5"/>
  <c r="AS250" i="5"/>
  <c r="AT250" i="5" s="1"/>
  <c r="AF32" i="4"/>
  <c r="AG32" i="4" s="1"/>
  <c r="AI32" i="4" s="1"/>
  <c r="AA122" i="4"/>
  <c r="AC122" i="4" s="1"/>
  <c r="AD122" i="4" s="1"/>
  <c r="AA74" i="4"/>
  <c r="AC74" i="4" s="1"/>
  <c r="AD74" i="4" s="1"/>
  <c r="AR74" i="4" s="1"/>
  <c r="AT74" i="4" s="1"/>
  <c r="AK45" i="4"/>
  <c r="AS415" i="5"/>
  <c r="AU415" i="5" s="1"/>
  <c r="AD415" i="5"/>
  <c r="AO45" i="4"/>
  <c r="AD516" i="5"/>
  <c r="AA82" i="4"/>
  <c r="AC82" i="4" s="1"/>
  <c r="AD82" i="4" s="1"/>
  <c r="AR82" i="4" s="1"/>
  <c r="AT82" i="4" s="1"/>
  <c r="AS516" i="5"/>
  <c r="AU516" i="5" s="1"/>
  <c r="AS152" i="5"/>
  <c r="AU152" i="5" s="1"/>
  <c r="AE152" i="5"/>
  <c r="AD288" i="5"/>
  <c r="AK71" i="4"/>
  <c r="AE149" i="5"/>
  <c r="AF120" i="4"/>
  <c r="AO120" i="4" s="1"/>
  <c r="AS531" i="5"/>
  <c r="AU531" i="5" s="1"/>
  <c r="AE554" i="5"/>
  <c r="AS334" i="5"/>
  <c r="AU334" i="5" s="1"/>
  <c r="AE256" i="5"/>
  <c r="AD554" i="5"/>
  <c r="AK120" i="4"/>
  <c r="AK19" i="4"/>
  <c r="AE258" i="5"/>
  <c r="AE276" i="5"/>
  <c r="AE328" i="5"/>
  <c r="AS358" i="5"/>
  <c r="AU358" i="5" s="1"/>
  <c r="AE519" i="5"/>
  <c r="AD92" i="5"/>
  <c r="AS372" i="5"/>
  <c r="AT372" i="5" s="1"/>
  <c r="AS276" i="5"/>
  <c r="AT276" i="5" s="1"/>
  <c r="AS507" i="5"/>
  <c r="AT507" i="5" s="1"/>
  <c r="AD258" i="5"/>
  <c r="AS328" i="5"/>
  <c r="AT328" i="5" s="1"/>
  <c r="AE507" i="5"/>
  <c r="AK80" i="4"/>
  <c r="AF52" i="4"/>
  <c r="AA52" i="4"/>
  <c r="AC52" i="4" s="1"/>
  <c r="AD52" i="4" s="1"/>
  <c r="AE431" i="5"/>
  <c r="AS89" i="5"/>
  <c r="AU89" i="5" s="1"/>
  <c r="AS47" i="5"/>
  <c r="AT47" i="5" s="1"/>
  <c r="AE474" i="5"/>
  <c r="AF116" i="4"/>
  <c r="AK116" i="4"/>
  <c r="AO70" i="4"/>
  <c r="AG70" i="4"/>
  <c r="AI70" i="4" s="1"/>
  <c r="AS431" i="5"/>
  <c r="AU431" i="5" s="1"/>
  <c r="AE89" i="5"/>
  <c r="AS474" i="5"/>
  <c r="AT474" i="5" s="1"/>
  <c r="B93" i="2"/>
  <c r="B113" i="2" s="1"/>
  <c r="H25" i="1" s="1"/>
  <c r="AG44" i="4"/>
  <c r="AI44" i="4" s="1"/>
  <c r="AO44" i="4"/>
  <c r="AF137" i="4"/>
  <c r="AF95" i="4"/>
  <c r="AK95" i="4"/>
  <c r="AA95" i="4"/>
  <c r="AC95" i="4" s="1"/>
  <c r="AD95" i="4" s="1"/>
  <c r="AK64" i="4"/>
  <c r="AF64" i="4"/>
  <c r="AA64" i="4"/>
  <c r="AC64" i="4" s="1"/>
  <c r="AD64" i="4" s="1"/>
  <c r="AS545" i="5"/>
  <c r="AU545" i="5" s="1"/>
  <c r="AD109" i="5"/>
  <c r="AA117" i="4"/>
  <c r="AC117" i="4" s="1"/>
  <c r="AD117" i="4" s="1"/>
  <c r="AF86" i="4"/>
  <c r="AK86" i="4"/>
  <c r="AF69" i="4"/>
  <c r="AK69" i="4"/>
  <c r="AA69" i="4"/>
  <c r="AC69" i="4" s="1"/>
  <c r="AD69" i="4" s="1"/>
  <c r="AE545" i="5"/>
  <c r="AE109" i="5"/>
  <c r="AD324" i="5"/>
  <c r="AA157" i="4"/>
  <c r="AC157" i="4" s="1"/>
  <c r="AD157" i="4" s="1"/>
  <c r="AF157" i="4"/>
  <c r="AK157" i="4"/>
  <c r="AF14" i="4"/>
  <c r="AF150" i="4"/>
  <c r="AA150" i="4"/>
  <c r="AC150" i="4" s="1"/>
  <c r="AD150" i="4" s="1"/>
  <c r="AK150" i="4"/>
  <c r="AS84" i="5"/>
  <c r="AT84" i="5" s="1"/>
  <c r="AE454" i="5"/>
  <c r="AA116" i="4"/>
  <c r="AC116" i="4" s="1"/>
  <c r="AD116" i="4" s="1"/>
  <c r="AJ116" i="4"/>
  <c r="AA71" i="4"/>
  <c r="AC71" i="4" s="1"/>
  <c r="AD71" i="4" s="1"/>
  <c r="AR71" i="4" s="1"/>
  <c r="AT71" i="4" s="1"/>
  <c r="AF54" i="4"/>
  <c r="AA54" i="4"/>
  <c r="AC54" i="4" s="1"/>
  <c r="AD54" i="4" s="1"/>
  <c r="AK54" i="4"/>
  <c r="AA44" i="4"/>
  <c r="AC44" i="4" s="1"/>
  <c r="AD44" i="4" s="1"/>
  <c r="AJ44" i="4"/>
  <c r="AK128" i="4"/>
  <c r="AF128" i="4"/>
  <c r="AA128" i="4"/>
  <c r="AC128" i="4" s="1"/>
  <c r="AD128" i="4" s="1"/>
  <c r="AF77" i="4"/>
  <c r="AA77" i="4"/>
  <c r="AC77" i="4" s="1"/>
  <c r="AD77" i="4" s="1"/>
  <c r="AK77" i="4"/>
  <c r="AE324" i="5"/>
  <c r="AE84" i="5"/>
  <c r="AD372" i="5"/>
  <c r="AK122" i="4"/>
  <c r="AD454" i="5"/>
  <c r="AA108" i="4"/>
  <c r="AC108" i="4" s="1"/>
  <c r="AD108" i="4" s="1"/>
  <c r="AA134" i="4"/>
  <c r="AC134" i="4" s="1"/>
  <c r="AD134" i="4" s="1"/>
  <c r="AF134" i="4"/>
  <c r="AK134" i="4"/>
  <c r="AA93" i="4"/>
  <c r="AC93" i="4" s="1"/>
  <c r="AD93" i="4" s="1"/>
  <c r="AF93" i="4"/>
  <c r="AK93" i="4"/>
  <c r="AK52" i="4"/>
  <c r="AA80" i="4"/>
  <c r="AC80" i="4" s="1"/>
  <c r="AD80" i="4" s="1"/>
  <c r="AF135" i="4"/>
  <c r="AJ70" i="4"/>
  <c r="AA70" i="4"/>
  <c r="AC70" i="4" s="1"/>
  <c r="AD70" i="4" s="1"/>
  <c r="AF23" i="4"/>
  <c r="AA23" i="4"/>
  <c r="AC23" i="4" s="1"/>
  <c r="AD23" i="4" s="1"/>
  <c r="AK23" i="4"/>
  <c r="AD118" i="5"/>
  <c r="AS242" i="5"/>
  <c r="AU242" i="5" s="1"/>
  <c r="AE91" i="5"/>
  <c r="AE242" i="5"/>
  <c r="AE484" i="5"/>
  <c r="AS88" i="5"/>
  <c r="AU88" i="5" s="1"/>
  <c r="AD91" i="5"/>
  <c r="AS497" i="5"/>
  <c r="AU497" i="5" s="1"/>
  <c r="AD484" i="5"/>
  <c r="AD88" i="5"/>
  <c r="AD497" i="5"/>
  <c r="AD503" i="5"/>
  <c r="AE9" i="5"/>
  <c r="AS9" i="5"/>
  <c r="AD9" i="5"/>
  <c r="AO85" i="4"/>
  <c r="AK65" i="4"/>
  <c r="AA151" i="4"/>
  <c r="AC151" i="4" s="1"/>
  <c r="AD151" i="4" s="1"/>
  <c r="AG49" i="4"/>
  <c r="AI49" i="4" s="1"/>
  <c r="AA153" i="4"/>
  <c r="AC153" i="4" s="1"/>
  <c r="AD153" i="4" s="1"/>
  <c r="AK117" i="4"/>
  <c r="AK151" i="4"/>
  <c r="AG114" i="4"/>
  <c r="AI114" i="4" s="1"/>
  <c r="AK124" i="4"/>
  <c r="AK13" i="4"/>
  <c r="AG43" i="4"/>
  <c r="AI43" i="4" s="1"/>
  <c r="AA13" i="4"/>
  <c r="AC13" i="4" s="1"/>
  <c r="AD13" i="4" s="1"/>
  <c r="AO17" i="4"/>
  <c r="AA65" i="4"/>
  <c r="AC65" i="4" s="1"/>
  <c r="AD65" i="4" s="1"/>
  <c r="AG149" i="4"/>
  <c r="AI149" i="4" s="1"/>
  <c r="AK51" i="4"/>
  <c r="AA89" i="4"/>
  <c r="AC89" i="4" s="1"/>
  <c r="AD89" i="4" s="1"/>
  <c r="AK136" i="4"/>
  <c r="AK97" i="4"/>
  <c r="AA51" i="4"/>
  <c r="AC51" i="4" s="1"/>
  <c r="AD51" i="4" s="1"/>
  <c r="AA97" i="4"/>
  <c r="AC97" i="4" s="1"/>
  <c r="AD97" i="4" s="1"/>
  <c r="AA136" i="4"/>
  <c r="AC136" i="4" s="1"/>
  <c r="AD136" i="4" s="1"/>
  <c r="AA90" i="4"/>
  <c r="AC90" i="4" s="1"/>
  <c r="AD90" i="4" s="1"/>
  <c r="AA113" i="4"/>
  <c r="AC113" i="4" s="1"/>
  <c r="AD113" i="4" s="1"/>
  <c r="AA114" i="4"/>
  <c r="AC114" i="4" s="1"/>
  <c r="AD114" i="4" s="1"/>
  <c r="AA138" i="4"/>
  <c r="AC138" i="4" s="1"/>
  <c r="AD138" i="4" s="1"/>
  <c r="AJ104" i="4"/>
  <c r="AA104" i="4"/>
  <c r="AC104" i="4" s="1"/>
  <c r="AD104" i="4" s="1"/>
  <c r="AK114" i="4"/>
  <c r="AK16" i="4"/>
  <c r="AJ41" i="4"/>
  <c r="AA41" i="4"/>
  <c r="AC41" i="4" s="1"/>
  <c r="AD41" i="4" s="1"/>
  <c r="AR41" i="4" s="1"/>
  <c r="AT41" i="4" s="1"/>
  <c r="AK113" i="4"/>
  <c r="AA131" i="4"/>
  <c r="AC131" i="4" s="1"/>
  <c r="AD131" i="4" s="1"/>
  <c r="AR36" i="4"/>
  <c r="AT36" i="4" s="1"/>
  <c r="AO48" i="4"/>
  <c r="AG48" i="4"/>
  <c r="AI48" i="4" s="1"/>
  <c r="AG131" i="4"/>
  <c r="AI131" i="4" s="1"/>
  <c r="AO131" i="4"/>
  <c r="AG90" i="4"/>
  <c r="AI90" i="4" s="1"/>
  <c r="AO90" i="4"/>
  <c r="AG117" i="4"/>
  <c r="AI117" i="4" s="1"/>
  <c r="AO117" i="4"/>
  <c r="AT7" i="5"/>
  <c r="AU7" i="5"/>
  <c r="AT83" i="5"/>
  <c r="AU83" i="5"/>
  <c r="AT146" i="5"/>
  <c r="AU146" i="5"/>
  <c r="AO57" i="4"/>
  <c r="AG57" i="4"/>
  <c r="AI57" i="4" s="1"/>
  <c r="AU500" i="5"/>
  <c r="AT500" i="5"/>
  <c r="AU294" i="5"/>
  <c r="AT294" i="5"/>
  <c r="AF73" i="4"/>
  <c r="AK73" i="4"/>
  <c r="AJ36" i="4"/>
  <c r="AK36" i="4"/>
  <c r="AT109" i="5"/>
  <c r="AU109" i="5"/>
  <c r="AT337" i="5"/>
  <c r="AU337" i="5"/>
  <c r="AG104" i="4"/>
  <c r="AI104" i="4" s="1"/>
  <c r="AO104" i="4"/>
  <c r="AT434" i="5"/>
  <c r="AU434" i="5"/>
  <c r="AU424" i="5"/>
  <c r="AT424" i="5"/>
  <c r="AU171" i="5"/>
  <c r="AT171" i="5"/>
  <c r="AJ154" i="4"/>
  <c r="AK154" i="4"/>
  <c r="AT208" i="5"/>
  <c r="AU208" i="5"/>
  <c r="AU118" i="5"/>
  <c r="AT118" i="5"/>
  <c r="AG138" i="4"/>
  <c r="AI138" i="4" s="1"/>
  <c r="AO138" i="4"/>
  <c r="AT317" i="5"/>
  <c r="AU317" i="5"/>
  <c r="AJ115" i="4"/>
  <c r="AK115" i="4"/>
  <c r="AT461" i="5"/>
  <c r="AU461" i="5"/>
  <c r="AU159" i="5"/>
  <c r="AT159" i="5"/>
  <c r="AU303" i="5"/>
  <c r="AT303" i="5"/>
  <c r="AT520" i="5"/>
  <c r="AU520" i="5"/>
  <c r="AT347" i="5"/>
  <c r="AU347" i="5"/>
  <c r="AO33" i="4"/>
  <c r="AG33" i="4"/>
  <c r="AI33" i="4" s="1"/>
  <c r="AT101" i="5"/>
  <c r="AU101" i="5"/>
  <c r="AU495" i="5"/>
  <c r="AT495" i="5"/>
  <c r="AJ119" i="4"/>
  <c r="AK119" i="4"/>
  <c r="AT544" i="5"/>
  <c r="AU544" i="5"/>
  <c r="AT33" i="5"/>
  <c r="AU33" i="5"/>
  <c r="AU413" i="5"/>
  <c r="AT413" i="5"/>
  <c r="AU279" i="5"/>
  <c r="AT279" i="5"/>
  <c r="AJ32" i="4"/>
  <c r="AK32" i="4"/>
  <c r="AA16" i="4"/>
  <c r="AC16" i="4" s="1"/>
  <c r="AD16" i="4" s="1"/>
  <c r="AG51" i="4"/>
  <c r="AI51" i="4" s="1"/>
  <c r="AO51" i="4"/>
  <c r="AU135" i="5"/>
  <c r="AT135" i="5"/>
  <c r="AU251" i="5"/>
  <c r="AT251" i="5"/>
  <c r="AT180" i="5"/>
  <c r="AU180" i="5"/>
  <c r="AE13" i="5"/>
  <c r="AD13" i="5"/>
  <c r="AS13" i="5"/>
  <c r="AJ131" i="4"/>
  <c r="AO147" i="4"/>
  <c r="AG147" i="4"/>
  <c r="AI147" i="4" s="1"/>
  <c r="AO60" i="4"/>
  <c r="AG60" i="4"/>
  <c r="AI60" i="4" s="1"/>
  <c r="AU173" i="5"/>
  <c r="AT173" i="5"/>
  <c r="AU183" i="5"/>
  <c r="AT183" i="5"/>
  <c r="AX182" i="5" s="1"/>
  <c r="AY182" i="5" s="1"/>
  <c r="AT392" i="5"/>
  <c r="AU392" i="5"/>
  <c r="AT464" i="5"/>
  <c r="AU464" i="5"/>
  <c r="AG121" i="4"/>
  <c r="AI121" i="4" s="1"/>
  <c r="AO121" i="4"/>
  <c r="AU100" i="5"/>
  <c r="AT100" i="5"/>
  <c r="AT160" i="5"/>
  <c r="AU160" i="5"/>
  <c r="AU167" i="5"/>
  <c r="AT167" i="5"/>
  <c r="AT286" i="5"/>
  <c r="AU286" i="5"/>
  <c r="AU362" i="5"/>
  <c r="AT362" i="5"/>
  <c r="AO107" i="4"/>
  <c r="AG107" i="4"/>
  <c r="AI107" i="4" s="1"/>
  <c r="AJ121" i="4"/>
  <c r="AK121" i="4"/>
  <c r="AJ53" i="4"/>
  <c r="AK53" i="4"/>
  <c r="AT479" i="5"/>
  <c r="AU479" i="5"/>
  <c r="AR112" i="4"/>
  <c r="AT112" i="4" s="1"/>
  <c r="AT454" i="5"/>
  <c r="AU454" i="5"/>
  <c r="AT34" i="5"/>
  <c r="AU34" i="5"/>
  <c r="AO80" i="4"/>
  <c r="AG80" i="4"/>
  <c r="AI80" i="4" s="1"/>
  <c r="AT187" i="5"/>
  <c r="AU187" i="5"/>
  <c r="AT223" i="5"/>
  <c r="AU223" i="5"/>
  <c r="AU449" i="5"/>
  <c r="AT449" i="5"/>
  <c r="AT181" i="5"/>
  <c r="AU181" i="5"/>
  <c r="AT206" i="5"/>
  <c r="AU206" i="5"/>
  <c r="AU481" i="5"/>
  <c r="AT481" i="5"/>
  <c r="AU136" i="5"/>
  <c r="AT136" i="5"/>
  <c r="AG13" i="4"/>
  <c r="AI13" i="4" s="1"/>
  <c r="AO13" i="4"/>
  <c r="AU258" i="5"/>
  <c r="AT258" i="5"/>
  <c r="AX257" i="5" s="1"/>
  <c r="AT397" i="5"/>
  <c r="AU397" i="5"/>
  <c r="AU252" i="5"/>
  <c r="AT252" i="5"/>
  <c r="AJ147" i="4"/>
  <c r="AK147" i="4"/>
  <c r="AU254" i="5"/>
  <c r="AT254" i="5"/>
  <c r="AU365" i="5"/>
  <c r="AT365" i="5"/>
  <c r="AU85" i="5"/>
  <c r="AT85" i="5"/>
  <c r="AU165" i="5"/>
  <c r="AT165" i="5"/>
  <c r="AG113" i="4"/>
  <c r="AI113" i="4" s="1"/>
  <c r="AO113" i="4"/>
  <c r="AT448" i="5"/>
  <c r="AU448" i="5"/>
  <c r="AT161" i="5"/>
  <c r="AU161" i="5"/>
  <c r="AJ110" i="4"/>
  <c r="AK110" i="4"/>
  <c r="AT331" i="5"/>
  <c r="AU331" i="5"/>
  <c r="AU395" i="5"/>
  <c r="AT395" i="5"/>
  <c r="AT282" i="5"/>
  <c r="AU282" i="5"/>
  <c r="AT192" i="5"/>
  <c r="AU192" i="5"/>
  <c r="AU456" i="5"/>
  <c r="AT456" i="5"/>
  <c r="AU329" i="5"/>
  <c r="AT329" i="5"/>
  <c r="AU515" i="5"/>
  <c r="AT515" i="5"/>
  <c r="AT43" i="5"/>
  <c r="AU43" i="5"/>
  <c r="AU538" i="5"/>
  <c r="AT538" i="5"/>
  <c r="AT521" i="5"/>
  <c r="AU521" i="5"/>
  <c r="AU408" i="5"/>
  <c r="AT408" i="5"/>
  <c r="AU274" i="5"/>
  <c r="AT274" i="5"/>
  <c r="AG129" i="4"/>
  <c r="AI129" i="4" s="1"/>
  <c r="AO129" i="4"/>
  <c r="AO88" i="4"/>
  <c r="AG88" i="4"/>
  <c r="AI88" i="4" s="1"/>
  <c r="AU142" i="5"/>
  <c r="AT142" i="5"/>
  <c r="AU333" i="5"/>
  <c r="AT333" i="5"/>
  <c r="AT221" i="5"/>
  <c r="AU221" i="5"/>
  <c r="AT170" i="5"/>
  <c r="AU170" i="5"/>
  <c r="AU460" i="5"/>
  <c r="AT460" i="5"/>
  <c r="AU253" i="5"/>
  <c r="AT253" i="5"/>
  <c r="AJ88" i="4"/>
  <c r="AK88" i="4"/>
  <c r="AT298" i="5"/>
  <c r="AU298" i="5"/>
  <c r="AG99" i="4"/>
  <c r="AI99" i="4" s="1"/>
  <c r="AO99" i="4"/>
  <c r="AO124" i="4"/>
  <c r="AG124" i="4"/>
  <c r="AI124" i="4" s="1"/>
  <c r="AT554" i="5"/>
  <c r="AU554" i="5"/>
  <c r="AG145" i="4"/>
  <c r="AI145" i="4" s="1"/>
  <c r="AO145" i="4"/>
  <c r="AJ56" i="4"/>
  <c r="AK56" i="4"/>
  <c r="AT491" i="5"/>
  <c r="AU491" i="5"/>
  <c r="AJ149" i="4"/>
  <c r="AU348" i="5"/>
  <c r="AT348" i="5"/>
  <c r="AT485" i="5"/>
  <c r="AU485" i="5"/>
  <c r="AU87" i="5"/>
  <c r="AT87" i="5"/>
  <c r="AU432" i="5"/>
  <c r="AT432" i="5"/>
  <c r="AG56" i="4"/>
  <c r="AI56" i="4" s="1"/>
  <c r="AO56" i="4"/>
  <c r="AU467" i="5"/>
  <c r="AT467" i="5"/>
  <c r="AT269" i="5"/>
  <c r="AU269" i="5"/>
  <c r="AR53" i="4"/>
  <c r="AT53" i="4" s="1"/>
  <c r="AJ156" i="4"/>
  <c r="AK156" i="4"/>
  <c r="AU121" i="5"/>
  <c r="AT121" i="5"/>
  <c r="AU288" i="5"/>
  <c r="AT288" i="5"/>
  <c r="AU203" i="5"/>
  <c r="AT203" i="5"/>
  <c r="AU488" i="5"/>
  <c r="AT488" i="5"/>
  <c r="AU429" i="5"/>
  <c r="AT429" i="5"/>
  <c r="AU260" i="5"/>
  <c r="AT260" i="5"/>
  <c r="AT290" i="5"/>
  <c r="AU290" i="5"/>
  <c r="AT37" i="5"/>
  <c r="AU37" i="5"/>
  <c r="AU40" i="5"/>
  <c r="AT40" i="5"/>
  <c r="AU144" i="5"/>
  <c r="AT144" i="5"/>
  <c r="AA11" i="4"/>
  <c r="AC11" i="4" s="1"/>
  <c r="AD11" i="4" s="1"/>
  <c r="AT557" i="5"/>
  <c r="AU557" i="5"/>
  <c r="AU482" i="5"/>
  <c r="AT482" i="5"/>
  <c r="AT176" i="5"/>
  <c r="AX175" i="5" s="1"/>
  <c r="AY175" i="5" s="1"/>
  <c r="AU176" i="5"/>
  <c r="AU311" i="5"/>
  <c r="AT311" i="5"/>
  <c r="AT149" i="5"/>
  <c r="AU149" i="5"/>
  <c r="AJ33" i="4"/>
  <c r="AK33" i="4"/>
  <c r="AU471" i="5"/>
  <c r="AT471" i="5"/>
  <c r="AG146" i="4"/>
  <c r="AI146" i="4" s="1"/>
  <c r="AO146" i="4"/>
  <c r="AU341" i="5"/>
  <c r="AT341" i="5"/>
  <c r="AO42" i="4"/>
  <c r="AG42" i="4"/>
  <c r="AI42" i="4" s="1"/>
  <c r="AU338" i="5"/>
  <c r="AT338" i="5"/>
  <c r="AU498" i="5"/>
  <c r="AT498" i="5"/>
  <c r="AU417" i="5"/>
  <c r="AT417" i="5"/>
  <c r="AT275" i="5"/>
  <c r="AU275" i="5"/>
  <c r="AU422" i="5"/>
  <c r="AT422" i="5"/>
  <c r="AT343" i="5"/>
  <c r="AU343" i="5"/>
  <c r="AU280" i="5"/>
  <c r="AT280" i="5"/>
  <c r="AU319" i="5"/>
  <c r="AT319" i="5"/>
  <c r="AT74" i="5"/>
  <c r="AU74" i="5"/>
  <c r="AT465" i="5"/>
  <c r="AU465" i="5"/>
  <c r="AG29" i="4"/>
  <c r="AI29" i="4" s="1"/>
  <c r="AO29" i="4"/>
  <c r="AU427" i="5"/>
  <c r="AT427" i="5"/>
  <c r="AU268" i="5"/>
  <c r="AT268" i="5"/>
  <c r="AT304" i="5"/>
  <c r="AU304" i="5"/>
  <c r="AU386" i="5"/>
  <c r="AT386" i="5"/>
  <c r="AG154" i="4"/>
  <c r="AI154" i="4" s="1"/>
  <c r="AO154" i="4"/>
  <c r="AT70" i="5"/>
  <c r="AU70" i="5"/>
  <c r="AT339" i="5"/>
  <c r="AU339" i="5"/>
  <c r="AU342" i="5"/>
  <c r="AT342" i="5"/>
  <c r="AU256" i="5"/>
  <c r="AT256" i="5"/>
  <c r="AG15" i="4"/>
  <c r="AI15" i="4" s="1"/>
  <c r="AO15" i="4"/>
  <c r="AK11" i="4"/>
  <c r="AT296" i="5"/>
  <c r="AU296" i="5"/>
  <c r="AU489" i="5"/>
  <c r="AT489" i="5"/>
  <c r="AU232" i="5"/>
  <c r="AT232" i="5"/>
  <c r="AU262" i="5"/>
  <c r="AT262" i="5"/>
  <c r="AU499" i="5"/>
  <c r="AT499" i="5"/>
  <c r="AJ90" i="4"/>
  <c r="AK90" i="4"/>
  <c r="AJ112" i="4"/>
  <c r="AK112" i="4"/>
  <c r="AU216" i="5"/>
  <c r="AT216" i="5"/>
  <c r="AU130" i="5"/>
  <c r="AT130" i="5"/>
  <c r="AO115" i="4"/>
  <c r="AG115" i="4"/>
  <c r="AI115" i="4" s="1"/>
  <c r="AT69" i="5"/>
  <c r="AU69" i="5"/>
  <c r="AU189" i="5"/>
  <c r="AT189" i="5"/>
  <c r="AJ43" i="4"/>
  <c r="AK43" i="4"/>
  <c r="AG119" i="4"/>
  <c r="AI119" i="4" s="1"/>
  <c r="AO119" i="4"/>
  <c r="AG65" i="4"/>
  <c r="AI65" i="4" s="1"/>
  <c r="AO65" i="4"/>
  <c r="AG110" i="4"/>
  <c r="AI110" i="4" s="1"/>
  <c r="AO110" i="4"/>
  <c r="AJ50" i="4"/>
  <c r="AK50" i="4"/>
  <c r="AJ87" i="4"/>
  <c r="AK87" i="4"/>
  <c r="AU433" i="5"/>
  <c r="AT433" i="5"/>
  <c r="AT356" i="5"/>
  <c r="AU356" i="5"/>
  <c r="AU123" i="5"/>
  <c r="AT123" i="5"/>
  <c r="AT506" i="5"/>
  <c r="AU506" i="5"/>
  <c r="AU373" i="5"/>
  <c r="AT373" i="5"/>
  <c r="AJ42" i="4"/>
  <c r="AK42" i="4"/>
  <c r="AU215" i="5"/>
  <c r="AT215" i="5"/>
  <c r="AT484" i="5"/>
  <c r="AU484" i="5"/>
  <c r="AT332" i="5"/>
  <c r="AU332" i="5"/>
  <c r="AU151" i="5"/>
  <c r="AT151" i="5"/>
  <c r="AT436" i="5"/>
  <c r="AU436" i="5"/>
  <c r="AU399" i="5"/>
  <c r="AT399" i="5"/>
  <c r="AJ49" i="4"/>
  <c r="AK49" i="4"/>
  <c r="AT553" i="5"/>
  <c r="AU553" i="5"/>
  <c r="AT63" i="5"/>
  <c r="AU63" i="5"/>
  <c r="AT450" i="5"/>
  <c r="AU450" i="5"/>
  <c r="AU524" i="5"/>
  <c r="AT524" i="5"/>
  <c r="AG11" i="4"/>
  <c r="AI11" i="4" s="1"/>
  <c r="AO11" i="4"/>
  <c r="AT536" i="5"/>
  <c r="AU536" i="5"/>
  <c r="AU91" i="5"/>
  <c r="AT91" i="5"/>
  <c r="AU380" i="5"/>
  <c r="AT380" i="5"/>
  <c r="AU324" i="5"/>
  <c r="AT324" i="5"/>
  <c r="AT237" i="5"/>
  <c r="AU237" i="5"/>
  <c r="AU80" i="5"/>
  <c r="AT80" i="5"/>
  <c r="AQ13" i="5"/>
  <c r="AR13" i="5"/>
  <c r="AU59" i="5"/>
  <c r="AT59" i="5"/>
  <c r="AJ107" i="4"/>
  <c r="AK107" i="4"/>
  <c r="AT261" i="5"/>
  <c r="AU261" i="5"/>
  <c r="AU125" i="5"/>
  <c r="AT125" i="5"/>
  <c r="AU305" i="5"/>
  <c r="AT305" i="5"/>
  <c r="AG122" i="4"/>
  <c r="AI122" i="4" s="1"/>
  <c r="AO122" i="4"/>
  <c r="AT117" i="5"/>
  <c r="AU117" i="5"/>
  <c r="AT543" i="5"/>
  <c r="AU543" i="5"/>
  <c r="AU38" i="5"/>
  <c r="AT38" i="5"/>
  <c r="AG50" i="4"/>
  <c r="AI50" i="4" s="1"/>
  <c r="AO50" i="4"/>
  <c r="AU241" i="5"/>
  <c r="AT241" i="5"/>
  <c r="AU312" i="5"/>
  <c r="AT312" i="5"/>
  <c r="AT284" i="5"/>
  <c r="AU284" i="5"/>
  <c r="AU381" i="5"/>
  <c r="AT381" i="5"/>
  <c r="AU212" i="5"/>
  <c r="AT212" i="5"/>
  <c r="AT445" i="5"/>
  <c r="AU445" i="5"/>
  <c r="AT112" i="5"/>
  <c r="AU112" i="5"/>
  <c r="AU370" i="5"/>
  <c r="AT370" i="5"/>
  <c r="AU133" i="5"/>
  <c r="AT133" i="5"/>
  <c r="AG156" i="4"/>
  <c r="AI156" i="4" s="1"/>
  <c r="AO156" i="4"/>
  <c r="AT266" i="5"/>
  <c r="AU266" i="5"/>
  <c r="AO16" i="4"/>
  <c r="AG16" i="4"/>
  <c r="AI16" i="4" s="1"/>
  <c r="AK74" i="4" l="1"/>
  <c r="AK28" i="4"/>
  <c r="AJ28" i="4"/>
  <c r="AR78" i="4"/>
  <c r="AT78" i="4" s="1"/>
  <c r="AY257" i="5"/>
  <c r="AO28" i="4"/>
  <c r="AR28" i="4" s="1"/>
  <c r="AT28" i="4" s="1"/>
  <c r="AR151" i="4"/>
  <c r="AT151" i="4" s="1"/>
  <c r="AA60" i="4"/>
  <c r="AC60" i="4" s="1"/>
  <c r="AD60" i="4" s="1"/>
  <c r="AR60" i="4" s="1"/>
  <c r="AT60" i="4" s="1"/>
  <c r="AK78" i="4"/>
  <c r="AJ78" i="4"/>
  <c r="AR89" i="4"/>
  <c r="AT89" i="4" s="1"/>
  <c r="AK89" i="4"/>
  <c r="AK138" i="4"/>
  <c r="AK108" i="4"/>
  <c r="AK17" i="4"/>
  <c r="AA17" i="4"/>
  <c r="AC17" i="4" s="1"/>
  <c r="AD17" i="4" s="1"/>
  <c r="AA86" i="4"/>
  <c r="AC86" i="4" s="1"/>
  <c r="AD86" i="4" s="1"/>
  <c r="AK146" i="4"/>
  <c r="AJ146" i="4"/>
  <c r="AR98" i="4"/>
  <c r="AT98" i="4" s="1"/>
  <c r="AT371" i="5"/>
  <c r="AX371" i="5" s="1"/>
  <c r="AY371" i="5" s="1"/>
  <c r="AR136" i="4"/>
  <c r="AT136" i="4" s="1"/>
  <c r="AO81" i="4"/>
  <c r="AF127" i="4"/>
  <c r="AG127" i="4" s="1"/>
  <c r="AI127" i="4" s="1"/>
  <c r="AK123" i="4"/>
  <c r="AA27" i="4"/>
  <c r="AC27" i="4" s="1"/>
  <c r="AD27" i="4" s="1"/>
  <c r="AR27" i="4" s="1"/>
  <c r="AT27" i="4" s="1"/>
  <c r="AK27" i="4"/>
  <c r="AK60" i="4"/>
  <c r="AG139" i="4"/>
  <c r="AI139" i="4" s="1"/>
  <c r="AR139" i="4" s="1"/>
  <c r="AT139" i="4" s="1"/>
  <c r="AK81" i="4"/>
  <c r="AK85" i="4"/>
  <c r="AF12" i="4"/>
  <c r="AG12" i="4" s="1"/>
  <c r="AI12" i="4" s="1"/>
  <c r="AJ118" i="4"/>
  <c r="AK118" i="4"/>
  <c r="AR106" i="4"/>
  <c r="AT106" i="4" s="1"/>
  <c r="AA92" i="4"/>
  <c r="AC92" i="4" s="1"/>
  <c r="AD92" i="4" s="1"/>
  <c r="AK92" i="4"/>
  <c r="AK47" i="4"/>
  <c r="AK75" i="4"/>
  <c r="AK40" i="4"/>
  <c r="AA111" i="4"/>
  <c r="AC111" i="4" s="1"/>
  <c r="AD111" i="4" s="1"/>
  <c r="AA40" i="4"/>
  <c r="AC40" i="4" s="1"/>
  <c r="AD40" i="4" s="1"/>
  <c r="AR40" i="4" s="1"/>
  <c r="AT40" i="4" s="1"/>
  <c r="AA123" i="4"/>
  <c r="AC123" i="4" s="1"/>
  <c r="AD123" i="4" s="1"/>
  <c r="AK63" i="4"/>
  <c r="AA25" i="4"/>
  <c r="AC25" i="4" s="1"/>
  <c r="AD25" i="4" s="1"/>
  <c r="AR25" i="4" s="1"/>
  <c r="AT25" i="4" s="1"/>
  <c r="AA85" i="4"/>
  <c r="AC85" i="4" s="1"/>
  <c r="AD85" i="4" s="1"/>
  <c r="AR85" i="4" s="1"/>
  <c r="AT85" i="4" s="1"/>
  <c r="AA47" i="4"/>
  <c r="AC47" i="4" s="1"/>
  <c r="AD47" i="4" s="1"/>
  <c r="AA81" i="4"/>
  <c r="AC81" i="4" s="1"/>
  <c r="AD81" i="4" s="1"/>
  <c r="AJ25" i="4"/>
  <c r="AF47" i="4"/>
  <c r="AO47" i="4" s="1"/>
  <c r="AK139" i="4"/>
  <c r="AJ139" i="4"/>
  <c r="AA55" i="4"/>
  <c r="AC55" i="4" s="1"/>
  <c r="AD55" i="4" s="1"/>
  <c r="AK8" i="4"/>
  <c r="AG123" i="4"/>
  <c r="AI123" i="4" s="1"/>
  <c r="AJ106" i="4"/>
  <c r="AA127" i="4"/>
  <c r="AC127" i="4" s="1"/>
  <c r="AD127" i="4" s="1"/>
  <c r="AA8" i="4"/>
  <c r="AC8" i="4" s="1"/>
  <c r="AD8" i="4" s="1"/>
  <c r="AR31" i="4"/>
  <c r="AT31" i="4" s="1"/>
  <c r="AJ29" i="4"/>
  <c r="AK137" i="4"/>
  <c r="AK29" i="4"/>
  <c r="AA137" i="4"/>
  <c r="AC137" i="4" s="1"/>
  <c r="AD137" i="4" s="1"/>
  <c r="AT512" i="5"/>
  <c r="AX511" i="5" s="1"/>
  <c r="AY511" i="5" s="1"/>
  <c r="AK106" i="4"/>
  <c r="AA9" i="4"/>
  <c r="AC9" i="4" s="1"/>
  <c r="AD9" i="4" s="1"/>
  <c r="AR9" i="4" s="1"/>
  <c r="AT9" i="4" s="1"/>
  <c r="AO118" i="4"/>
  <c r="AR118" i="4" s="1"/>
  <c r="AT118" i="4" s="1"/>
  <c r="AA48" i="4"/>
  <c r="AC48" i="4" s="1"/>
  <c r="AD48" i="4" s="1"/>
  <c r="AR48" i="4" s="1"/>
  <c r="AT48" i="4" s="1"/>
  <c r="AK7" i="4"/>
  <c r="AK48" i="4"/>
  <c r="AO92" i="4"/>
  <c r="AA7" i="4"/>
  <c r="AC7" i="4" s="1"/>
  <c r="AD7" i="4" s="1"/>
  <c r="AG55" i="4"/>
  <c r="AI55" i="4" s="1"/>
  <c r="AR55" i="4" s="1"/>
  <c r="AT55" i="4" s="1"/>
  <c r="AF100" i="4"/>
  <c r="AO100" i="4" s="1"/>
  <c r="AA30" i="4"/>
  <c r="AC30" i="4" s="1"/>
  <c r="AD30" i="4" s="1"/>
  <c r="AR30" i="4" s="1"/>
  <c r="AT30" i="4" s="1"/>
  <c r="AA63" i="4"/>
  <c r="AC63" i="4" s="1"/>
  <c r="AD63" i="4" s="1"/>
  <c r="AF38" i="4"/>
  <c r="AG38" i="4" s="1"/>
  <c r="AI38" i="4" s="1"/>
  <c r="AK30" i="4"/>
  <c r="AO153" i="4"/>
  <c r="AR153" i="4" s="1"/>
  <c r="AT153" i="4" s="1"/>
  <c r="AT459" i="5"/>
  <c r="AX459" i="5" s="1"/>
  <c r="AY459" i="5" s="1"/>
  <c r="AJ31" i="4"/>
  <c r="AF91" i="4"/>
  <c r="AO91" i="4" s="1"/>
  <c r="AK91" i="4"/>
  <c r="AK31" i="4"/>
  <c r="AT522" i="5"/>
  <c r="AX521" i="5" s="1"/>
  <c r="AY521" i="5" s="1"/>
  <c r="AA66" i="4"/>
  <c r="AC66" i="4" s="1"/>
  <c r="AD66" i="4" s="1"/>
  <c r="AK153" i="4"/>
  <c r="AK111" i="4"/>
  <c r="AA100" i="4"/>
  <c r="AC100" i="4" s="1"/>
  <c r="AD100" i="4" s="1"/>
  <c r="AR102" i="4"/>
  <c r="AT102" i="4" s="1"/>
  <c r="AU523" i="5"/>
  <c r="AA75" i="4"/>
  <c r="AC75" i="4" s="1"/>
  <c r="AD75" i="4" s="1"/>
  <c r="AR75" i="4" s="1"/>
  <c r="AT75" i="4" s="1"/>
  <c r="AT264" i="5"/>
  <c r="AX264" i="5" s="1"/>
  <c r="AY264" i="5" s="1"/>
  <c r="AK9" i="4"/>
  <c r="AX45" i="5"/>
  <c r="AY45" i="5" s="1"/>
  <c r="AF63" i="4"/>
  <c r="AO63" i="4" s="1"/>
  <c r="AT234" i="5"/>
  <c r="AK76" i="4"/>
  <c r="AU525" i="5"/>
  <c r="AK126" i="4"/>
  <c r="AK38" i="4"/>
  <c r="AF76" i="4"/>
  <c r="AG76" i="4" s="1"/>
  <c r="AI76" i="4" s="1"/>
  <c r="AX115" i="5"/>
  <c r="AY115" i="5" s="1"/>
  <c r="AT537" i="5"/>
  <c r="AX536" i="5" s="1"/>
  <c r="AY536" i="5" s="1"/>
  <c r="AA126" i="4"/>
  <c r="AC126" i="4" s="1"/>
  <c r="AD126" i="4" s="1"/>
  <c r="AK55" i="4"/>
  <c r="AR87" i="4"/>
  <c r="AT87" i="4" s="1"/>
  <c r="AO111" i="4"/>
  <c r="AA18" i="4"/>
  <c r="AC18" i="4" s="1"/>
  <c r="AD18" i="4" s="1"/>
  <c r="AR18" i="4" s="1"/>
  <c r="AT18" i="4" s="1"/>
  <c r="AK35" i="4"/>
  <c r="AA35" i="4"/>
  <c r="AC35" i="4" s="1"/>
  <c r="AD35" i="4" s="1"/>
  <c r="AR49" i="4"/>
  <c r="AT49" i="4" s="1"/>
  <c r="AT379" i="5"/>
  <c r="AX379" i="5" s="1"/>
  <c r="AY379" i="5" s="1"/>
  <c r="AU376" i="5"/>
  <c r="AT508" i="5"/>
  <c r="AX507" i="5" s="1"/>
  <c r="AY507" i="5" s="1"/>
  <c r="AU426" i="5"/>
  <c r="AT446" i="5"/>
  <c r="AX445" i="5" s="1"/>
  <c r="AY445" i="5" s="1"/>
  <c r="AU49" i="5"/>
  <c r="AT546" i="5"/>
  <c r="AU200" i="5"/>
  <c r="AU26" i="5"/>
  <c r="AA145" i="4"/>
  <c r="AC145" i="4" s="1"/>
  <c r="AD145" i="4" s="1"/>
  <c r="AR145" i="4" s="1"/>
  <c r="AT145" i="4" s="1"/>
  <c r="AU345" i="5"/>
  <c r="AT483" i="5"/>
  <c r="AX483" i="5" s="1"/>
  <c r="AY483" i="5" s="1"/>
  <c r="AK145" i="4"/>
  <c r="AX23" i="5"/>
  <c r="AY23" i="5" s="1"/>
  <c r="AU23" i="5"/>
  <c r="AK66" i="4"/>
  <c r="AF37" i="4"/>
  <c r="AG37" i="4" s="1"/>
  <c r="AI37" i="4" s="1"/>
  <c r="AU289" i="5"/>
  <c r="AX97" i="5"/>
  <c r="AY97" i="5" s="1"/>
  <c r="AK37" i="4"/>
  <c r="AT530" i="5"/>
  <c r="AX184" i="5"/>
  <c r="AY184" i="5" s="1"/>
  <c r="AU534" i="5"/>
  <c r="AT105" i="5"/>
  <c r="AX105" i="5" s="1"/>
  <c r="AY105" i="5" s="1"/>
  <c r="AT463" i="5"/>
  <c r="AX463" i="5" s="1"/>
  <c r="AY463" i="5" s="1"/>
  <c r="AU265" i="5"/>
  <c r="AU97" i="5"/>
  <c r="AT243" i="5"/>
  <c r="AU226" i="5"/>
  <c r="AT213" i="5"/>
  <c r="AX212" i="5" s="1"/>
  <c r="AY212" i="5" s="1"/>
  <c r="AU532" i="5"/>
  <c r="AT540" i="5"/>
  <c r="AX539" i="5" s="1"/>
  <c r="AY539" i="5" s="1"/>
  <c r="AT470" i="5"/>
  <c r="AX470" i="5" s="1"/>
  <c r="AY470" i="5" s="1"/>
  <c r="AT469" i="5"/>
  <c r="AU509" i="5"/>
  <c r="AU184" i="5"/>
  <c r="AA46" i="4"/>
  <c r="AC46" i="4" s="1"/>
  <c r="AD46" i="4" s="1"/>
  <c r="AR46" i="4" s="1"/>
  <c r="AT46" i="4" s="1"/>
  <c r="AJ46" i="4"/>
  <c r="AU359" i="5"/>
  <c r="AA20" i="4"/>
  <c r="AC20" i="4" s="1"/>
  <c r="AD20" i="4" s="1"/>
  <c r="AG66" i="4"/>
  <c r="AI66" i="4" s="1"/>
  <c r="AK20" i="4"/>
  <c r="AU327" i="5"/>
  <c r="AU297" i="5"/>
  <c r="AT466" i="5"/>
  <c r="AX466" i="5" s="1"/>
  <c r="AY466" i="5" s="1"/>
  <c r="AU188" i="5"/>
  <c r="AU166" i="5"/>
  <c r="AU477" i="5"/>
  <c r="AT518" i="5"/>
  <c r="AX517" i="5" s="1"/>
  <c r="AY517" i="5" s="1"/>
  <c r="AU514" i="5"/>
  <c r="AU22" i="5"/>
  <c r="AU511" i="5"/>
  <c r="AR43" i="4"/>
  <c r="AT43" i="4" s="1"/>
  <c r="AU62" i="5"/>
  <c r="AX49" i="5"/>
  <c r="AY49" i="5" s="1"/>
  <c r="AU349" i="5"/>
  <c r="AA14" i="4"/>
  <c r="AC14" i="4" s="1"/>
  <c r="AD14" i="4" s="1"/>
  <c r="AR149" i="4"/>
  <c r="AT149" i="4" s="1"/>
  <c r="AK14" i="4"/>
  <c r="AU148" i="5"/>
  <c r="AU137" i="5"/>
  <c r="AT201" i="5"/>
  <c r="AX201" i="5" s="1"/>
  <c r="AY201" i="5" s="1"/>
  <c r="AA61" i="4"/>
  <c r="AC61" i="4" s="1"/>
  <c r="AD61" i="4" s="1"/>
  <c r="AR61" i="4" s="1"/>
  <c r="AT61" i="4" s="1"/>
  <c r="AT42" i="5"/>
  <c r="AX42" i="5" s="1"/>
  <c r="AY42" i="5" s="1"/>
  <c r="AU351" i="5"/>
  <c r="AU21" i="5"/>
  <c r="AX21" i="5"/>
  <c r="AY21" i="5" s="1"/>
  <c r="AK61" i="4"/>
  <c r="AT214" i="5"/>
  <c r="AX214" i="5" s="1"/>
  <c r="AY214" i="5" s="1"/>
  <c r="AT267" i="5"/>
  <c r="AX267" i="5" s="1"/>
  <c r="AY267" i="5" s="1"/>
  <c r="AT186" i="5"/>
  <c r="AX186" i="5" s="1"/>
  <c r="AY186" i="5" s="1"/>
  <c r="AT301" i="5"/>
  <c r="AX300" i="5" s="1"/>
  <c r="AY300" i="5" s="1"/>
  <c r="AU300" i="5"/>
  <c r="AT313" i="5"/>
  <c r="AX313" i="5" s="1"/>
  <c r="AY313" i="5" s="1"/>
  <c r="AU382" i="5"/>
  <c r="AX148" i="5"/>
  <c r="AY148" i="5" s="1"/>
  <c r="AT451" i="5"/>
  <c r="AX450" i="5" s="1"/>
  <c r="AY450" i="5" s="1"/>
  <c r="AT486" i="5"/>
  <c r="AX485" i="5" s="1"/>
  <c r="AY485" i="5" s="1"/>
  <c r="AA57" i="4"/>
  <c r="AC57" i="4" s="1"/>
  <c r="AD57" i="4" s="1"/>
  <c r="AR57" i="4" s="1"/>
  <c r="AT57" i="4" s="1"/>
  <c r="AF22" i="4"/>
  <c r="AO22" i="4" s="1"/>
  <c r="AA142" i="4"/>
  <c r="AC142" i="4" s="1"/>
  <c r="AD142" i="4" s="1"/>
  <c r="AX147" i="5"/>
  <c r="AY147" i="5" s="1"/>
  <c r="AT248" i="5"/>
  <c r="AX247" i="5" s="1"/>
  <c r="AU205" i="5"/>
  <c r="AT478" i="5"/>
  <c r="AX477" i="5" s="1"/>
  <c r="AY477" i="5" s="1"/>
  <c r="AK15" i="4"/>
  <c r="AU31" i="5"/>
  <c r="AU283" i="5"/>
  <c r="AO142" i="4"/>
  <c r="AT390" i="5"/>
  <c r="AX389" i="5" s="1"/>
  <c r="AY389" i="5" s="1"/>
  <c r="AK57" i="4"/>
  <c r="AA15" i="4"/>
  <c r="AC15" i="4" s="1"/>
  <c r="AD15" i="4" s="1"/>
  <c r="AR15" i="4" s="1"/>
  <c r="AT15" i="4" s="1"/>
  <c r="AT316" i="5"/>
  <c r="AX316" i="5" s="1"/>
  <c r="AY316" i="5" s="1"/>
  <c r="AK142" i="4"/>
  <c r="AT444" i="5"/>
  <c r="AX444" i="5" s="1"/>
  <c r="AY444" i="5" s="1"/>
  <c r="AT58" i="5"/>
  <c r="AX58" i="5" s="1"/>
  <c r="AY58" i="5" s="1"/>
  <c r="AT374" i="5"/>
  <c r="AX373" i="5" s="1"/>
  <c r="AY373" i="5" s="1"/>
  <c r="AT455" i="5"/>
  <c r="AX454" i="5" s="1"/>
  <c r="AY454" i="5" s="1"/>
  <c r="AT360" i="5"/>
  <c r="AT308" i="5"/>
  <c r="AX308" i="5" s="1"/>
  <c r="AY308" i="5" s="1"/>
  <c r="AT361" i="5"/>
  <c r="AX361" i="5" s="1"/>
  <c r="AY361" i="5" s="1"/>
  <c r="AX278" i="5"/>
  <c r="AY278" i="5" s="1"/>
  <c r="AX62" i="5"/>
  <c r="AY62" i="5" s="1"/>
  <c r="AU400" i="5"/>
  <c r="AU32" i="5"/>
  <c r="AT48" i="5"/>
  <c r="AX48" i="5" s="1"/>
  <c r="AY48" i="5" s="1"/>
  <c r="AU363" i="5"/>
  <c r="AU138" i="5"/>
  <c r="AT306" i="5"/>
  <c r="AX306" i="5" s="1"/>
  <c r="AY306" i="5" s="1"/>
  <c r="AU245" i="5"/>
  <c r="AT145" i="5"/>
  <c r="AX144" i="5" s="1"/>
  <c r="AY144" i="5" s="1"/>
  <c r="AU421" i="5"/>
  <c r="AX20" i="5"/>
  <c r="AY20" i="5" s="1"/>
  <c r="AT113" i="5"/>
  <c r="AX113" i="5" s="1"/>
  <c r="AY113" i="5" s="1"/>
  <c r="AU552" i="5"/>
  <c r="AU55" i="5"/>
  <c r="AT222" i="5"/>
  <c r="AX222" i="5" s="1"/>
  <c r="AY222" i="5" s="1"/>
  <c r="AT366" i="5"/>
  <c r="AX365" i="5" s="1"/>
  <c r="AY365" i="5" s="1"/>
  <c r="AT36" i="5"/>
  <c r="AX35" i="5" s="1"/>
  <c r="AY35" i="5" s="1"/>
  <c r="AX116" i="5"/>
  <c r="AY116" i="5" s="1"/>
  <c r="AU309" i="5"/>
  <c r="AU336" i="5"/>
  <c r="AU416" i="5"/>
  <c r="AT140" i="5"/>
  <c r="AX139" i="5" s="1"/>
  <c r="AY139" i="5" s="1"/>
  <c r="AT295" i="5"/>
  <c r="AX294" i="5" s="1"/>
  <c r="AY294" i="5" s="1"/>
  <c r="AT302" i="5"/>
  <c r="AX302" i="5" s="1"/>
  <c r="AY302" i="5" s="1"/>
  <c r="AT90" i="5"/>
  <c r="AX90" i="5" s="1"/>
  <c r="AY90" i="5" s="1"/>
  <c r="AU353" i="5"/>
  <c r="AT178" i="5"/>
  <c r="AX177" i="5" s="1"/>
  <c r="AY177" i="5" s="1"/>
  <c r="AT378" i="5"/>
  <c r="AT475" i="5"/>
  <c r="AX475" i="5" s="1"/>
  <c r="AY475" i="5" s="1"/>
  <c r="AT462" i="5"/>
  <c r="AU517" i="5"/>
  <c r="AT344" i="5"/>
  <c r="AX343" i="5" s="1"/>
  <c r="AY343" i="5" s="1"/>
  <c r="AT94" i="5"/>
  <c r="AX94" i="5" s="1"/>
  <c r="AY94" i="5" s="1"/>
  <c r="AA135" i="4"/>
  <c r="AC135" i="4" s="1"/>
  <c r="AD135" i="4" s="1"/>
  <c r="AA125" i="4"/>
  <c r="AC125" i="4" s="1"/>
  <c r="AD125" i="4" s="1"/>
  <c r="AT158" i="5"/>
  <c r="AX158" i="5" s="1"/>
  <c r="AY158" i="5" s="1"/>
  <c r="AK125" i="4"/>
  <c r="AT259" i="5"/>
  <c r="AX258" i="5" s="1"/>
  <c r="AY258" i="5" s="1"/>
  <c r="AU438" i="5"/>
  <c r="AT119" i="5"/>
  <c r="AX118" i="5" s="1"/>
  <c r="AY118" i="5" s="1"/>
  <c r="AU394" i="5"/>
  <c r="AT155" i="5"/>
  <c r="AU504" i="5"/>
  <c r="AU193" i="5"/>
  <c r="AU270" i="5"/>
  <c r="AX46" i="5"/>
  <c r="AY46" i="5" s="1"/>
  <c r="AU385" i="5"/>
  <c r="AT194" i="5"/>
  <c r="AX193" i="5" s="1"/>
  <c r="AY193" i="5" s="1"/>
  <c r="AA39" i="4"/>
  <c r="AC39" i="4" s="1"/>
  <c r="AD39" i="4" s="1"/>
  <c r="AT428" i="5"/>
  <c r="AX427" i="5" s="1"/>
  <c r="AY427" i="5" s="1"/>
  <c r="AT556" i="5"/>
  <c r="AX556" i="5" s="1"/>
  <c r="AY556" i="5" s="1"/>
  <c r="AT494" i="5"/>
  <c r="AX494" i="5" s="1"/>
  <c r="AY494" i="5" s="1"/>
  <c r="AT76" i="5"/>
  <c r="AX76" i="5" s="1"/>
  <c r="AY76" i="5" s="1"/>
  <c r="AK39" i="4"/>
  <c r="AU502" i="5"/>
  <c r="AT404" i="5"/>
  <c r="AU541" i="5"/>
  <c r="AU46" i="5"/>
  <c r="AT244" i="5"/>
  <c r="AT383" i="5"/>
  <c r="AX382" i="5" s="1"/>
  <c r="AY382" i="5" s="1"/>
  <c r="AU440" i="5"/>
  <c r="AX53" i="5"/>
  <c r="AY53" i="5" s="1"/>
  <c r="AX54" i="5"/>
  <c r="AY54" i="5" s="1"/>
  <c r="AU425" i="5"/>
  <c r="AU126" i="5"/>
  <c r="AU106" i="5"/>
  <c r="AT174" i="5"/>
  <c r="AX173" i="5" s="1"/>
  <c r="AY173" i="5" s="1"/>
  <c r="AT335" i="5"/>
  <c r="AX335" i="5" s="1"/>
  <c r="AY335" i="5" s="1"/>
  <c r="AT111" i="5"/>
  <c r="AX111" i="5" s="1"/>
  <c r="AY111" i="5" s="1"/>
  <c r="AT277" i="5"/>
  <c r="AX277" i="5" s="1"/>
  <c r="AY277" i="5" s="1"/>
  <c r="AT325" i="5"/>
  <c r="AX324" i="5" s="1"/>
  <c r="AY324" i="5" s="1"/>
  <c r="AT67" i="5"/>
  <c r="AX67" i="5" s="1"/>
  <c r="AY67" i="5" s="1"/>
  <c r="AT210" i="5"/>
  <c r="AX209" i="5" s="1"/>
  <c r="AY209" i="5" s="1"/>
  <c r="AT310" i="5"/>
  <c r="AX309" i="5" s="1"/>
  <c r="AY309" i="5" s="1"/>
  <c r="AT555" i="5"/>
  <c r="AX122" i="5"/>
  <c r="AY122" i="5" s="1"/>
  <c r="AU50" i="5"/>
  <c r="AT402" i="5"/>
  <c r="AT551" i="5"/>
  <c r="AX551" i="5" s="1"/>
  <c r="AY551" i="5" s="1"/>
  <c r="AX80" i="5"/>
  <c r="AY80" i="5" s="1"/>
  <c r="AT318" i="5"/>
  <c r="AX318" i="5" s="1"/>
  <c r="AY318" i="5" s="1"/>
  <c r="AT12" i="5"/>
  <c r="AU476" i="5"/>
  <c r="AU122" i="5"/>
  <c r="AT354" i="5"/>
  <c r="AX353" i="5" s="1"/>
  <c r="AY353" i="5" s="1"/>
  <c r="AT60" i="5"/>
  <c r="AX59" i="5" s="1"/>
  <c r="AY59" i="5" s="1"/>
  <c r="AT452" i="5"/>
  <c r="AX451" i="5" s="1"/>
  <c r="AY451" i="5" s="1"/>
  <c r="AT120" i="5"/>
  <c r="AX120" i="5" s="1"/>
  <c r="AY120" i="5" s="1"/>
  <c r="AU116" i="5"/>
  <c r="AT104" i="5"/>
  <c r="AX103" i="5" s="1"/>
  <c r="AY103" i="5" s="1"/>
  <c r="AT150" i="5"/>
  <c r="AX150" i="5" s="1"/>
  <c r="AY150" i="5" s="1"/>
  <c r="AU533" i="5"/>
  <c r="AU369" i="5"/>
  <c r="AT403" i="5"/>
  <c r="AU163" i="5"/>
  <c r="AK22" i="4"/>
  <c r="AT217" i="5"/>
  <c r="AX216" i="5" s="1"/>
  <c r="AY216" i="5" s="1"/>
  <c r="AX240" i="5"/>
  <c r="AU25" i="5"/>
  <c r="AU453" i="5"/>
  <c r="AU198" i="5"/>
  <c r="AU384" i="5"/>
  <c r="AT231" i="5"/>
  <c r="AX231" i="5" s="1"/>
  <c r="AY231" i="5" s="1"/>
  <c r="AU505" i="5"/>
  <c r="AU77" i="5"/>
  <c r="AU350" i="5"/>
  <c r="AT263" i="5"/>
  <c r="AX262" i="5" s="1"/>
  <c r="AY262" i="5" s="1"/>
  <c r="AT239" i="5"/>
  <c r="AX239" i="5" s="1"/>
  <c r="AY239" i="5" s="1"/>
  <c r="AO125" i="4"/>
  <c r="AT411" i="5"/>
  <c r="AX411" i="5" s="1"/>
  <c r="AY411" i="5" s="1"/>
  <c r="AU398" i="5"/>
  <c r="AK135" i="4"/>
  <c r="AT110" i="5"/>
  <c r="AX109" i="5" s="1"/>
  <c r="AY109" i="5" s="1"/>
  <c r="AX73" i="5"/>
  <c r="AY73" i="5" s="1"/>
  <c r="AU420" i="5"/>
  <c r="AU285" i="5"/>
  <c r="AT501" i="5"/>
  <c r="AX500" i="5" s="1"/>
  <c r="AY500" i="5" s="1"/>
  <c r="AU114" i="5"/>
  <c r="AU44" i="5"/>
  <c r="AU73" i="5"/>
  <c r="AT220" i="5"/>
  <c r="AX219" i="5" s="1"/>
  <c r="AY219" i="5" s="1"/>
  <c r="AT82" i="5"/>
  <c r="AX81" i="5" s="1"/>
  <c r="AY81" i="5" s="1"/>
  <c r="AU406" i="5"/>
  <c r="AU24" i="5"/>
  <c r="AU548" i="5"/>
  <c r="AT236" i="5"/>
  <c r="AX236" i="5" s="1"/>
  <c r="AY236" i="5" s="1"/>
  <c r="AU128" i="5"/>
  <c r="AU468" i="5"/>
  <c r="AU387" i="5"/>
  <c r="AX143" i="5"/>
  <c r="AY143" i="5" s="1"/>
  <c r="AU115" i="5"/>
  <c r="AX202" i="5"/>
  <c r="AY202" i="5" s="1"/>
  <c r="AU437" i="5"/>
  <c r="AT513" i="5"/>
  <c r="AT377" i="5"/>
  <c r="AX376" i="5" s="1"/>
  <c r="AY376" i="5" s="1"/>
  <c r="AX127" i="5"/>
  <c r="AY127" i="5" s="1"/>
  <c r="AT441" i="5"/>
  <c r="AX440" i="5" s="1"/>
  <c r="AY440" i="5" s="1"/>
  <c r="AT492" i="5"/>
  <c r="AX491" i="5" s="1"/>
  <c r="AY491" i="5" s="1"/>
  <c r="AT168" i="5"/>
  <c r="AX168" i="5" s="1"/>
  <c r="AY168" i="5" s="1"/>
  <c r="AU19" i="5"/>
  <c r="AT410" i="5"/>
  <c r="AU375" i="5"/>
  <c r="AT558" i="5"/>
  <c r="AX557" i="5" s="1"/>
  <c r="AY557" i="5" s="1"/>
  <c r="AU204" i="5"/>
  <c r="AU314" i="5"/>
  <c r="AU240" i="5"/>
  <c r="AT228" i="5"/>
  <c r="AT229" i="5"/>
  <c r="AX229" i="5" s="1"/>
  <c r="AY229" i="5" s="1"/>
  <c r="AU320" i="5"/>
  <c r="AU560" i="5"/>
  <c r="AU153" i="5"/>
  <c r="AT99" i="5"/>
  <c r="AX99" i="5" s="1"/>
  <c r="AY99" i="5" s="1"/>
  <c r="AT157" i="5"/>
  <c r="AT238" i="5"/>
  <c r="AT405" i="5"/>
  <c r="AU108" i="5"/>
  <c r="AU143" i="5"/>
  <c r="AT134" i="5"/>
  <c r="AX134" i="5" s="1"/>
  <c r="AY134" i="5" s="1"/>
  <c r="AR68" i="4"/>
  <c r="AT68" i="4" s="1"/>
  <c r="AU218" i="5"/>
  <c r="AT496" i="5"/>
  <c r="AX495" i="5" s="1"/>
  <c r="AY495" i="5" s="1"/>
  <c r="AT27" i="5"/>
  <c r="AX26" i="5" s="1"/>
  <c r="AY26" i="5" s="1"/>
  <c r="AX72" i="5"/>
  <c r="AY72" i="5" s="1"/>
  <c r="AU293" i="5"/>
  <c r="AU472" i="5"/>
  <c r="AX19" i="5"/>
  <c r="AY19" i="5" s="1"/>
  <c r="AT132" i="5"/>
  <c r="AX132" i="5" s="1"/>
  <c r="AY132" i="5" s="1"/>
  <c r="F69" i="1"/>
  <c r="AT473" i="5"/>
  <c r="AX472" i="5" s="1"/>
  <c r="AY472" i="5" s="1"/>
  <c r="AU68" i="5"/>
  <c r="AT197" i="5"/>
  <c r="AX197" i="5" s="1"/>
  <c r="AY197" i="5" s="1"/>
  <c r="AT179" i="5"/>
  <c r="AX179" i="5" s="1"/>
  <c r="AY179" i="5" s="1"/>
  <c r="AX198" i="5"/>
  <c r="AY198" i="5" s="1"/>
  <c r="AX218" i="5"/>
  <c r="AY218" i="5" s="1"/>
  <c r="AT388" i="5"/>
  <c r="AX388" i="5" s="1"/>
  <c r="AY388" i="5" s="1"/>
  <c r="AT75" i="5"/>
  <c r="AX68" i="5"/>
  <c r="AY68" i="5" s="1"/>
  <c r="AU209" i="5"/>
  <c r="AT66" i="5"/>
  <c r="AX254" i="5"/>
  <c r="AY254" i="5" s="1"/>
  <c r="AX255" i="5"/>
  <c r="AY255" i="5" s="1"/>
  <c r="AT141" i="5"/>
  <c r="AX141" i="5" s="1"/>
  <c r="AY141" i="5" s="1"/>
  <c r="AU447" i="5"/>
  <c r="AU29" i="5"/>
  <c r="AU95" i="5"/>
  <c r="AA12" i="4"/>
  <c r="AC12" i="4" s="1"/>
  <c r="AD12" i="4" s="1"/>
  <c r="AU255" i="5"/>
  <c r="AT401" i="5"/>
  <c r="AU93" i="5"/>
  <c r="AT65" i="5"/>
  <c r="AT529" i="5"/>
  <c r="AU53" i="5"/>
  <c r="AT528" i="5"/>
  <c r="AU35" i="5"/>
  <c r="AU45" i="5"/>
  <c r="AU199" i="5"/>
  <c r="AU414" i="5"/>
  <c r="AU103" i="5"/>
  <c r="AX128" i="5"/>
  <c r="AY128" i="5" s="1"/>
  <c r="AX102" i="5"/>
  <c r="AY102" i="5" s="1"/>
  <c r="AT291" i="5"/>
  <c r="AX290" i="5" s="1"/>
  <c r="AY290" i="5" s="1"/>
  <c r="AX71" i="5"/>
  <c r="AY71" i="5" s="1"/>
  <c r="AX101" i="5"/>
  <c r="AY101" i="5" s="1"/>
  <c r="AT321" i="5"/>
  <c r="AX321" i="5" s="1"/>
  <c r="AY321" i="5" s="1"/>
  <c r="AU480" i="5"/>
  <c r="AU20" i="5"/>
  <c r="AU102" i="5"/>
  <c r="AX208" i="5"/>
  <c r="AY208" i="5" s="1"/>
  <c r="AT559" i="5"/>
  <c r="AX559" i="5" s="1"/>
  <c r="AY559" i="5" s="1"/>
  <c r="AX129" i="5"/>
  <c r="AY129" i="5" s="1"/>
  <c r="AU219" i="5"/>
  <c r="AU247" i="5"/>
  <c r="AU129" i="5"/>
  <c r="AT323" i="5"/>
  <c r="AX323" i="5" s="1"/>
  <c r="AY323" i="5" s="1"/>
  <c r="AT272" i="5"/>
  <c r="AX272" i="5" s="1"/>
  <c r="AY272" i="5" s="1"/>
  <c r="AF26" i="4"/>
  <c r="AK26" i="4"/>
  <c r="AA26" i="4"/>
  <c r="AC26" i="4" s="1"/>
  <c r="AD26" i="4" s="1"/>
  <c r="AT409" i="5"/>
  <c r="AX408" i="5" s="1"/>
  <c r="AY408" i="5" s="1"/>
  <c r="AA129" i="4"/>
  <c r="AC129" i="4" s="1"/>
  <c r="AD129" i="4" s="1"/>
  <c r="AR129" i="4" s="1"/>
  <c r="AT129" i="4" s="1"/>
  <c r="AA72" i="4"/>
  <c r="AC72" i="4" s="1"/>
  <c r="AD72" i="4" s="1"/>
  <c r="AR72" i="4" s="1"/>
  <c r="AT72" i="4" s="1"/>
  <c r="AK129" i="4"/>
  <c r="AT11" i="5"/>
  <c r="AU393" i="5"/>
  <c r="AU407" i="5"/>
  <c r="AU185" i="5"/>
  <c r="AA109" i="4"/>
  <c r="AC109" i="4" s="1"/>
  <c r="AD109" i="4" s="1"/>
  <c r="AK109" i="4"/>
  <c r="AA148" i="4"/>
  <c r="AC148" i="4" s="1"/>
  <c r="AD148" i="4" s="1"/>
  <c r="AU64" i="5"/>
  <c r="AU307" i="5"/>
  <c r="AK148" i="4"/>
  <c r="AK72" i="4"/>
  <c r="AU287" i="5"/>
  <c r="AO152" i="4"/>
  <c r="AR152" i="4" s="1"/>
  <c r="AT152" i="4" s="1"/>
  <c r="AK67" i="4"/>
  <c r="AJ67" i="4"/>
  <c r="AA133" i="4"/>
  <c r="AC133" i="4" s="1"/>
  <c r="AD133" i="4" s="1"/>
  <c r="AT340" i="5"/>
  <c r="AX339" i="5" s="1"/>
  <c r="AY339" i="5" s="1"/>
  <c r="AA79" i="4"/>
  <c r="AC79" i="4" s="1"/>
  <c r="AD79" i="4" s="1"/>
  <c r="AJ152" i="4"/>
  <c r="AR108" i="4"/>
  <c r="AT108" i="4" s="1"/>
  <c r="AT10" i="5"/>
  <c r="AT249" i="5"/>
  <c r="AO67" i="4"/>
  <c r="AR67" i="4" s="1"/>
  <c r="AT67" i="4" s="1"/>
  <c r="AK79" i="4"/>
  <c r="AK133" i="4"/>
  <c r="AF133" i="4"/>
  <c r="AG133" i="4" s="1"/>
  <c r="AI133" i="4" s="1"/>
  <c r="AK152" i="4"/>
  <c r="AU230" i="5"/>
  <c r="AU346" i="5"/>
  <c r="AT299" i="5"/>
  <c r="AX299" i="5" s="1"/>
  <c r="AY299" i="5" s="1"/>
  <c r="AA132" i="4"/>
  <c r="AC132" i="4" s="1"/>
  <c r="AD132" i="4" s="1"/>
  <c r="AJ132" i="4"/>
  <c r="AK132" i="4"/>
  <c r="AO105" i="4"/>
  <c r="AG105" i="4"/>
  <c r="AI105" i="4" s="1"/>
  <c r="AF101" i="4"/>
  <c r="AA101" i="4"/>
  <c r="AC101" i="4" s="1"/>
  <c r="AD101" i="4" s="1"/>
  <c r="AK101" i="4"/>
  <c r="AF21" i="4"/>
  <c r="AA21" i="4"/>
  <c r="AC21" i="4" s="1"/>
  <c r="AD21" i="4" s="1"/>
  <c r="AK21" i="4"/>
  <c r="AF24" i="4"/>
  <c r="AK24" i="4"/>
  <c r="AF10" i="4"/>
  <c r="AA10" i="4"/>
  <c r="AC10" i="4" s="1"/>
  <c r="AD10" i="4" s="1"/>
  <c r="AK10" i="4"/>
  <c r="AG140" i="4"/>
  <c r="AI140" i="4" s="1"/>
  <c r="AO140" i="4"/>
  <c r="AO132" i="4"/>
  <c r="AG132" i="4"/>
  <c r="AI132" i="4" s="1"/>
  <c r="AA62" i="4"/>
  <c r="AC62" i="4" s="1"/>
  <c r="AD62" i="4" s="1"/>
  <c r="AF62" i="4"/>
  <c r="AK62" i="4"/>
  <c r="AJ144" i="4"/>
  <c r="Z155" i="4"/>
  <c r="AF155" i="4" s="1"/>
  <c r="Z144" i="4"/>
  <c r="AF144" i="4" s="1"/>
  <c r="AJ155" i="4"/>
  <c r="AF59" i="4"/>
  <c r="AK59" i="4"/>
  <c r="AA59" i="4"/>
  <c r="AC59" i="4" s="1"/>
  <c r="AD59" i="4" s="1"/>
  <c r="AG79" i="4"/>
  <c r="AI79" i="4" s="1"/>
  <c r="AO79" i="4"/>
  <c r="AA94" i="4"/>
  <c r="AC94" i="4" s="1"/>
  <c r="AD94" i="4" s="1"/>
  <c r="AJ94" i="4"/>
  <c r="AF83" i="4"/>
  <c r="AA83" i="4"/>
  <c r="AC83" i="4" s="1"/>
  <c r="AD83" i="4" s="1"/>
  <c r="AK83" i="4"/>
  <c r="AU8" i="5"/>
  <c r="AJ130" i="4"/>
  <c r="Z141" i="4"/>
  <c r="AA141" i="4" s="1"/>
  <c r="AC141" i="4" s="1"/>
  <c r="AD141" i="4" s="1"/>
  <c r="AF94" i="4"/>
  <c r="AK94" i="4"/>
  <c r="AA24" i="4"/>
  <c r="AC24" i="4" s="1"/>
  <c r="AD24" i="4" s="1"/>
  <c r="AJ24" i="4"/>
  <c r="AF58" i="4"/>
  <c r="AA58" i="4"/>
  <c r="AC58" i="4" s="1"/>
  <c r="AD58" i="4" s="1"/>
  <c r="AK58" i="4"/>
  <c r="Z130" i="4"/>
  <c r="AF130" i="4" s="1"/>
  <c r="AF34" i="4"/>
  <c r="AK34" i="4"/>
  <c r="AA34" i="4"/>
  <c r="AC34" i="4" s="1"/>
  <c r="AD34" i="4" s="1"/>
  <c r="AT292" i="5"/>
  <c r="AU391" i="5"/>
  <c r="AT235" i="5"/>
  <c r="AU162" i="5"/>
  <c r="AG84" i="4"/>
  <c r="AI84" i="4" s="1"/>
  <c r="AO84" i="4"/>
  <c r="AU169" i="5"/>
  <c r="AR143" i="4"/>
  <c r="AT143" i="4" s="1"/>
  <c r="AR103" i="4"/>
  <c r="AT103" i="4" s="1"/>
  <c r="AT487" i="5"/>
  <c r="AX487" i="5" s="1"/>
  <c r="AY487" i="5" s="1"/>
  <c r="AU412" i="5"/>
  <c r="AT458" i="5"/>
  <c r="AT550" i="5"/>
  <c r="AT233" i="5"/>
  <c r="AX232" i="5" s="1"/>
  <c r="AY232" i="5" s="1"/>
  <c r="AU364" i="5"/>
  <c r="AG120" i="4"/>
  <c r="AI120" i="4" s="1"/>
  <c r="AR120" i="4" s="1"/>
  <c r="AT120" i="4" s="1"/>
  <c r="AT549" i="5"/>
  <c r="AX548" i="5" s="1"/>
  <c r="AY548" i="5" s="1"/>
  <c r="AU328" i="5"/>
  <c r="AU396" i="5"/>
  <c r="AU457" i="5"/>
  <c r="AT547" i="5"/>
  <c r="AX547" i="5" s="1"/>
  <c r="AY547" i="5" s="1"/>
  <c r="AT326" i="5"/>
  <c r="AX326" i="5" s="1"/>
  <c r="AY326" i="5" s="1"/>
  <c r="AT52" i="5"/>
  <c r="AX52" i="5" s="1"/>
  <c r="AY52" i="5" s="1"/>
  <c r="AT196" i="5"/>
  <c r="AT207" i="5"/>
  <c r="AX206" i="5" s="1"/>
  <c r="AY206" i="5" s="1"/>
  <c r="AT545" i="5"/>
  <c r="AX544" i="5" s="1"/>
  <c r="AY544" i="5" s="1"/>
  <c r="AT430" i="5"/>
  <c r="AX429" i="5" s="1"/>
  <c r="AY429" i="5" s="1"/>
  <c r="AU315" i="5"/>
  <c r="AU47" i="5"/>
  <c r="AU92" i="5"/>
  <c r="AT423" i="5"/>
  <c r="AX423" i="5" s="1"/>
  <c r="AY423" i="5" s="1"/>
  <c r="AT527" i="5"/>
  <c r="AT443" i="5"/>
  <c r="AU271" i="5"/>
  <c r="AT510" i="5"/>
  <c r="AX509" i="5" s="1"/>
  <c r="AY509" i="5" s="1"/>
  <c r="AU225" i="5"/>
  <c r="AT352" i="5"/>
  <c r="AX351" i="5" s="1"/>
  <c r="AY351" i="5" s="1"/>
  <c r="AU79" i="5"/>
  <c r="AU418" i="5"/>
  <c r="AU139" i="5"/>
  <c r="AU539" i="5"/>
  <c r="AT535" i="5"/>
  <c r="AX535" i="5" s="1"/>
  <c r="AY535" i="5" s="1"/>
  <c r="AT191" i="5"/>
  <c r="AX191" i="5" s="1"/>
  <c r="AY191" i="5" s="1"/>
  <c r="AT56" i="5"/>
  <c r="AX56" i="5" s="1"/>
  <c r="AY56" i="5" s="1"/>
  <c r="AT497" i="5"/>
  <c r="AU57" i="5"/>
  <c r="AU490" i="5"/>
  <c r="AT419" i="5"/>
  <c r="AX418" i="5" s="1"/>
  <c r="AY418" i="5" s="1"/>
  <c r="AU98" i="5"/>
  <c r="AT96" i="5"/>
  <c r="AX96" i="5" s="1"/>
  <c r="AY96" i="5" s="1"/>
  <c r="AX347" i="5"/>
  <c r="AY347" i="5" s="1"/>
  <c r="AT542" i="5"/>
  <c r="AX542" i="5" s="1"/>
  <c r="AY542" i="5" s="1"/>
  <c r="AT154" i="5"/>
  <c r="AX153" i="5" s="1"/>
  <c r="AY153" i="5" s="1"/>
  <c r="AU84" i="5"/>
  <c r="AT172" i="5"/>
  <c r="AX172" i="5" s="1"/>
  <c r="AY172" i="5" s="1"/>
  <c r="AT358" i="5"/>
  <c r="AX358" i="5" s="1"/>
  <c r="AY358" i="5" s="1"/>
  <c r="AT124" i="5"/>
  <c r="AX123" i="5" s="1"/>
  <c r="AY123" i="5" s="1"/>
  <c r="AX384" i="5"/>
  <c r="AY384" i="5" s="1"/>
  <c r="AT164" i="5"/>
  <c r="AX163" i="5" s="1"/>
  <c r="AY163" i="5" s="1"/>
  <c r="AX425" i="5"/>
  <c r="AY425" i="5" s="1"/>
  <c r="AU503" i="5"/>
  <c r="AU330" i="5"/>
  <c r="AU211" i="5"/>
  <c r="AU322" i="5"/>
  <c r="AU281" i="5"/>
  <c r="AT61" i="5"/>
  <c r="AU435" i="5"/>
  <c r="AT227" i="5"/>
  <c r="AX226" i="5" s="1"/>
  <c r="AY226" i="5" s="1"/>
  <c r="AT526" i="5"/>
  <c r="AX525" i="5" s="1"/>
  <c r="AY525" i="5" s="1"/>
  <c r="AU224" i="5"/>
  <c r="AU39" i="5"/>
  <c r="AT28" i="5"/>
  <c r="AX28" i="5" s="1"/>
  <c r="AY28" i="5" s="1"/>
  <c r="AT519" i="5"/>
  <c r="AT357" i="5"/>
  <c r="AX356" i="5" s="1"/>
  <c r="AY356" i="5" s="1"/>
  <c r="AT107" i="5"/>
  <c r="AX107" i="5" s="1"/>
  <c r="AY107" i="5" s="1"/>
  <c r="AX135" i="5"/>
  <c r="AY135" i="5" s="1"/>
  <c r="AU493" i="5"/>
  <c r="AU177" i="5"/>
  <c r="AU131" i="5"/>
  <c r="AT51" i="5"/>
  <c r="AT246" i="5"/>
  <c r="AX245" i="5" s="1"/>
  <c r="AY245" i="5" s="1"/>
  <c r="AT442" i="5"/>
  <c r="AX479" i="5"/>
  <c r="AY479" i="5" s="1"/>
  <c r="AX552" i="5"/>
  <c r="AY552" i="5" s="1"/>
  <c r="AX456" i="5"/>
  <c r="AY456" i="5" s="1"/>
  <c r="AX159" i="5"/>
  <c r="AY159" i="5" s="1"/>
  <c r="AT89" i="5"/>
  <c r="AX286" i="5"/>
  <c r="AY286" i="5" s="1"/>
  <c r="AT516" i="5"/>
  <c r="AX515" i="5" s="1"/>
  <c r="AY515" i="5" s="1"/>
  <c r="AT41" i="5"/>
  <c r="AU71" i="5"/>
  <c r="AT367" i="5"/>
  <c r="AX367" i="5" s="1"/>
  <c r="AY367" i="5" s="1"/>
  <c r="AU86" i="5"/>
  <c r="AT190" i="5"/>
  <c r="AT152" i="5"/>
  <c r="AX151" i="5" s="1"/>
  <c r="AY151" i="5" s="1"/>
  <c r="AU273" i="5"/>
  <c r="AU439" i="5"/>
  <c r="AX311" i="5"/>
  <c r="AY311" i="5" s="1"/>
  <c r="AT88" i="5"/>
  <c r="AX87" i="5" s="1"/>
  <c r="AY87" i="5" s="1"/>
  <c r="AX407" i="5"/>
  <c r="AY407" i="5" s="1"/>
  <c r="AX328" i="5"/>
  <c r="AY328" i="5" s="1"/>
  <c r="AT156" i="5"/>
  <c r="AU195" i="5"/>
  <c r="AX349" i="5"/>
  <c r="AY349" i="5" s="1"/>
  <c r="AU368" i="5"/>
  <c r="B123" i="2"/>
  <c r="H29" i="1" s="1"/>
  <c r="AU355" i="5"/>
  <c r="AT334" i="5"/>
  <c r="AX333" i="5" s="1"/>
  <c r="AY333" i="5" s="1"/>
  <c r="AU276" i="5"/>
  <c r="AT30" i="5"/>
  <c r="AX30" i="5" s="1"/>
  <c r="AY30" i="5" s="1"/>
  <c r="AX523" i="5"/>
  <c r="AY523" i="5" s="1"/>
  <c r="AX169" i="5"/>
  <c r="AY169" i="5" s="1"/>
  <c r="AT415" i="5"/>
  <c r="AX415" i="5" s="1"/>
  <c r="AY415" i="5" s="1"/>
  <c r="AT531" i="5"/>
  <c r="AX531" i="5" s="1"/>
  <c r="AY531" i="5" s="1"/>
  <c r="AX503" i="5"/>
  <c r="AY503" i="5" s="1"/>
  <c r="AT431" i="5"/>
  <c r="AX431" i="5" s="1"/>
  <c r="AY431" i="5" s="1"/>
  <c r="AU372" i="5"/>
  <c r="AT242" i="5"/>
  <c r="AX241" i="5" s="1"/>
  <c r="AY241" i="5" s="1"/>
  <c r="AU389" i="5"/>
  <c r="AR97" i="4"/>
  <c r="AT97" i="4" s="1"/>
  <c r="AR45" i="4"/>
  <c r="AT45" i="4" s="1"/>
  <c r="AX488" i="5"/>
  <c r="AY488" i="5" s="1"/>
  <c r="AU250" i="5"/>
  <c r="AX520" i="5"/>
  <c r="AY520" i="5" s="1"/>
  <c r="AX251" i="5"/>
  <c r="AY251" i="5" s="1"/>
  <c r="AX368" i="5"/>
  <c r="AY368" i="5" s="1"/>
  <c r="AU507" i="5"/>
  <c r="AU474" i="5"/>
  <c r="AX449" i="5"/>
  <c r="AY449" i="5" s="1"/>
  <c r="AO32" i="4"/>
  <c r="AR32" i="4" s="1"/>
  <c r="AT32" i="4" s="1"/>
  <c r="AR17" i="4"/>
  <c r="AT17" i="4" s="1"/>
  <c r="AX350" i="5"/>
  <c r="AY350" i="5" s="1"/>
  <c r="AX392" i="5"/>
  <c r="AY392" i="5" s="1"/>
  <c r="AX34" i="5"/>
  <c r="AY34" i="5" s="1"/>
  <c r="AX180" i="5"/>
  <c r="AY180" i="5" s="1"/>
  <c r="AX287" i="5"/>
  <c r="AY287" i="5" s="1"/>
  <c r="AX505" i="5"/>
  <c r="AY505" i="5" s="1"/>
  <c r="AX434" i="5"/>
  <c r="AY434" i="5" s="1"/>
  <c r="AO95" i="4"/>
  <c r="AG95" i="4"/>
  <c r="AI95" i="4" s="1"/>
  <c r="AO116" i="4"/>
  <c r="AG116" i="4"/>
  <c r="AI116" i="4" s="1"/>
  <c r="AG35" i="4"/>
  <c r="AI35" i="4" s="1"/>
  <c r="AO35" i="4"/>
  <c r="AG134" i="4"/>
  <c r="AI134" i="4" s="1"/>
  <c r="AO134" i="4"/>
  <c r="AG69" i="4"/>
  <c r="AI69" i="4" s="1"/>
  <c r="AO69" i="4"/>
  <c r="AG20" i="4"/>
  <c r="AI20" i="4" s="1"/>
  <c r="AO20" i="4"/>
  <c r="AO54" i="4"/>
  <c r="AG54" i="4"/>
  <c r="AI54" i="4" s="1"/>
  <c r="AO126" i="4"/>
  <c r="AG126" i="4"/>
  <c r="AI126" i="4" s="1"/>
  <c r="AR70" i="4"/>
  <c r="AT70" i="4" s="1"/>
  <c r="AG23" i="4"/>
  <c r="AI23" i="4" s="1"/>
  <c r="AO23" i="4"/>
  <c r="AG109" i="4"/>
  <c r="AI109" i="4" s="1"/>
  <c r="AO109" i="4"/>
  <c r="AO64" i="4"/>
  <c r="AG64" i="4"/>
  <c r="AI64" i="4" s="1"/>
  <c r="AR44" i="4"/>
  <c r="AT44" i="4" s="1"/>
  <c r="AG8" i="4"/>
  <c r="AI8" i="4" s="1"/>
  <c r="AO8" i="4"/>
  <c r="AO128" i="4"/>
  <c r="AG128" i="4"/>
  <c r="AI128" i="4" s="1"/>
  <c r="AG150" i="4"/>
  <c r="AI150" i="4" s="1"/>
  <c r="AO150" i="4"/>
  <c r="AG86" i="4"/>
  <c r="AI86" i="4" s="1"/>
  <c r="AO86" i="4"/>
  <c r="AG77" i="4"/>
  <c r="AI77" i="4" s="1"/>
  <c r="AO77" i="4"/>
  <c r="AG93" i="4"/>
  <c r="AI93" i="4" s="1"/>
  <c r="AO93" i="4"/>
  <c r="AO7" i="4"/>
  <c r="AG7" i="4"/>
  <c r="AI7" i="4" s="1"/>
  <c r="AG148" i="4"/>
  <c r="AI148" i="4" s="1"/>
  <c r="AO148" i="4"/>
  <c r="AX338" i="5"/>
  <c r="AY338" i="5" s="1"/>
  <c r="AO135" i="4"/>
  <c r="AG135" i="4"/>
  <c r="AI135" i="4" s="1"/>
  <c r="AO14" i="4"/>
  <c r="AG14" i="4"/>
  <c r="AI14" i="4" s="1"/>
  <c r="AO157" i="4"/>
  <c r="AG157" i="4"/>
  <c r="AI157" i="4" s="1"/>
  <c r="AO137" i="4"/>
  <c r="AG137" i="4"/>
  <c r="AI137" i="4" s="1"/>
  <c r="AO39" i="4"/>
  <c r="AG39" i="4"/>
  <c r="AI39" i="4" s="1"/>
  <c r="AO52" i="4"/>
  <c r="AG52" i="4"/>
  <c r="AI52" i="4" s="1"/>
  <c r="AT9" i="5"/>
  <c r="AU9" i="5"/>
  <c r="AX341" i="5"/>
  <c r="AY341" i="5" s="1"/>
  <c r="AX86" i="5"/>
  <c r="AY86" i="5" s="1"/>
  <c r="AX498" i="5"/>
  <c r="AY498" i="5" s="1"/>
  <c r="AX314" i="5"/>
  <c r="AY314" i="5" s="1"/>
  <c r="AX224" i="5"/>
  <c r="AY224" i="5" s="1"/>
  <c r="AX183" i="5"/>
  <c r="AY183" i="5" s="1"/>
  <c r="AX464" i="5"/>
  <c r="AY464" i="5" s="1"/>
  <c r="AX84" i="5"/>
  <c r="AY84" i="5" s="1"/>
  <c r="AX39" i="5"/>
  <c r="AY39" i="5" s="1"/>
  <c r="AX447" i="5"/>
  <c r="AY447" i="5" s="1"/>
  <c r="AX33" i="5"/>
  <c r="AY33" i="5" s="1"/>
  <c r="AX362" i="5"/>
  <c r="AY362" i="5" s="1"/>
  <c r="AR114" i="4"/>
  <c r="AT114" i="4" s="1"/>
  <c r="AX355" i="5"/>
  <c r="AY355" i="5" s="1"/>
  <c r="AX279" i="5"/>
  <c r="AY279" i="5" s="1"/>
  <c r="AX160" i="5"/>
  <c r="AY160" i="5" s="1"/>
  <c r="AX260" i="5"/>
  <c r="AY260" i="5" s="1"/>
  <c r="AX435" i="5"/>
  <c r="AY435" i="5" s="1"/>
  <c r="AX369" i="5"/>
  <c r="AY369" i="5" s="1"/>
  <c r="AX188" i="5"/>
  <c r="AY188" i="5" s="1"/>
  <c r="AX252" i="5"/>
  <c r="AY252" i="5" s="1"/>
  <c r="AX199" i="5"/>
  <c r="AY199" i="5" s="1"/>
  <c r="AX329" i="5"/>
  <c r="AY329" i="5" s="1"/>
  <c r="AX274" i="5"/>
  <c r="AY274" i="5" s="1"/>
  <c r="AX165" i="5"/>
  <c r="AY165" i="5" s="1"/>
  <c r="AX283" i="5"/>
  <c r="AY283" i="5" s="1"/>
  <c r="AX481" i="5"/>
  <c r="AY481" i="5" s="1"/>
  <c r="AX395" i="5"/>
  <c r="AY395" i="5" s="1"/>
  <c r="AX364" i="5"/>
  <c r="AY364" i="5" s="1"/>
  <c r="AX137" i="5"/>
  <c r="AY137" i="5" s="1"/>
  <c r="AX424" i="5"/>
  <c r="AY424" i="5" s="1"/>
  <c r="AX79" i="5"/>
  <c r="AY79" i="5" s="1"/>
  <c r="AX432" i="5"/>
  <c r="AY432" i="5" s="1"/>
  <c r="AX269" i="5"/>
  <c r="AY269" i="5" s="1"/>
  <c r="AX211" i="5"/>
  <c r="AY211" i="5" s="1"/>
  <c r="AX489" i="5"/>
  <c r="AY489" i="5" s="1"/>
  <c r="AX85" i="5"/>
  <c r="AY85" i="5" s="1"/>
  <c r="AX25" i="5"/>
  <c r="AY25" i="5" s="1"/>
  <c r="AX288" i="5"/>
  <c r="AY288" i="5" s="1"/>
  <c r="AX265" i="5"/>
  <c r="AY265" i="5" s="1"/>
  <c r="AX372" i="5"/>
  <c r="AY372" i="5" s="1"/>
  <c r="AX303" i="5"/>
  <c r="AY303" i="5" s="1"/>
  <c r="AX342" i="5"/>
  <c r="AY342" i="5" s="1"/>
  <c r="AX43" i="5"/>
  <c r="AY43" i="5" s="1"/>
  <c r="AX146" i="5"/>
  <c r="AY146" i="5" s="1"/>
  <c r="AX270" i="5"/>
  <c r="AY270" i="5" s="1"/>
  <c r="AX176" i="5"/>
  <c r="AY176" i="5" s="1"/>
  <c r="AX187" i="5"/>
  <c r="AY187" i="5" s="1"/>
  <c r="AX398" i="5"/>
  <c r="AY398" i="5" s="1"/>
  <c r="AX421" i="5"/>
  <c r="AY421" i="5" s="1"/>
  <c r="AX337" i="5"/>
  <c r="AY337" i="5" s="1"/>
  <c r="AX345" i="5"/>
  <c r="AY345" i="5" s="1"/>
  <c r="AX223" i="5"/>
  <c r="AY223" i="5" s="1"/>
  <c r="AX413" i="5"/>
  <c r="AY413" i="5" s="1"/>
  <c r="AX380" i="5"/>
  <c r="AY380" i="5" s="1"/>
  <c r="AX386" i="5"/>
  <c r="AY386" i="5" s="1"/>
  <c r="AX130" i="5"/>
  <c r="AY130" i="5" s="1"/>
  <c r="AX63" i="5"/>
  <c r="AY63" i="5" s="1"/>
  <c r="AX331" i="5"/>
  <c r="AY331" i="5" s="1"/>
  <c r="AX261" i="5"/>
  <c r="AY261" i="5" s="1"/>
  <c r="AX205" i="5"/>
  <c r="AY205" i="5" s="1"/>
  <c r="AX426" i="5"/>
  <c r="AY426" i="5" s="1"/>
  <c r="AX161" i="5"/>
  <c r="AY161" i="5" s="1"/>
  <c r="AX282" i="5"/>
  <c r="AY282" i="5" s="1"/>
  <c r="AX438" i="5"/>
  <c r="AY438" i="5" s="1"/>
  <c r="AX37" i="5"/>
  <c r="AY37" i="5" s="1"/>
  <c r="AX273" i="5"/>
  <c r="AY273" i="5" s="1"/>
  <c r="AX83" i="5"/>
  <c r="AY83" i="5" s="1"/>
  <c r="AR121" i="4"/>
  <c r="AT121" i="4" s="1"/>
  <c r="AR154" i="4"/>
  <c r="AT154" i="4" s="1"/>
  <c r="AR156" i="4"/>
  <c r="AT156" i="4" s="1"/>
  <c r="AR50" i="4"/>
  <c r="AT50" i="4" s="1"/>
  <c r="AR29" i="4"/>
  <c r="AT29" i="4" s="1"/>
  <c r="AR138" i="4"/>
  <c r="AT138" i="4" s="1"/>
  <c r="AR104" i="4"/>
  <c r="AT104" i="4" s="1"/>
  <c r="AR113" i="4"/>
  <c r="AT113" i="4" s="1"/>
  <c r="AR147" i="4"/>
  <c r="AT147" i="4" s="1"/>
  <c r="AR51" i="4"/>
  <c r="AT51" i="4" s="1"/>
  <c r="AR122" i="4"/>
  <c r="AT122" i="4" s="1"/>
  <c r="AR65" i="4"/>
  <c r="AT65" i="4" s="1"/>
  <c r="AR124" i="4"/>
  <c r="AT124" i="4" s="1"/>
  <c r="AR88" i="4"/>
  <c r="AT88" i="4" s="1"/>
  <c r="AR90" i="4"/>
  <c r="AT90" i="4" s="1"/>
  <c r="AR11" i="4"/>
  <c r="AT11" i="4" s="1"/>
  <c r="AR146" i="4"/>
  <c r="AT146" i="4" s="1"/>
  <c r="AR33" i="4"/>
  <c r="AT33" i="4" s="1"/>
  <c r="AR131" i="4"/>
  <c r="AT131" i="4" s="1"/>
  <c r="AX394" i="5"/>
  <c r="AY394" i="5" s="1"/>
  <c r="AX166" i="5"/>
  <c r="AY166" i="5" s="1"/>
  <c r="AT13" i="5"/>
  <c r="AU13" i="5"/>
  <c r="AX436" i="5"/>
  <c r="AY436" i="5" s="1"/>
  <c r="AX44" i="5"/>
  <c r="AY44" i="5" s="1"/>
  <c r="AX92" i="5"/>
  <c r="AY92" i="5" s="1"/>
  <c r="AX381" i="5"/>
  <c r="AY381" i="5" s="1"/>
  <c r="AX215" i="5"/>
  <c r="AY215" i="5" s="1"/>
  <c r="AX280" i="5"/>
  <c r="AY280" i="5" s="1"/>
  <c r="AX125" i="5"/>
  <c r="AY125" i="5" s="1"/>
  <c r="AX476" i="5"/>
  <c r="AY476" i="5" s="1"/>
  <c r="AX225" i="5"/>
  <c r="AY225" i="5" s="1"/>
  <c r="AX24" i="5"/>
  <c r="AY24" i="5" s="1"/>
  <c r="AX448" i="5"/>
  <c r="AY448" i="5" s="1"/>
  <c r="AR80" i="4"/>
  <c r="AT80" i="4" s="1"/>
  <c r="AX256" i="5"/>
  <c r="AY256" i="5" s="1"/>
  <c r="AX275" i="5"/>
  <c r="AY275" i="5" s="1"/>
  <c r="AX32" i="5"/>
  <c r="AY32" i="5" s="1"/>
  <c r="AX504" i="5"/>
  <c r="AY504" i="5" s="1"/>
  <c r="AX319" i="5"/>
  <c r="AY319" i="5" s="1"/>
  <c r="AX393" i="5"/>
  <c r="AY393" i="5" s="1"/>
  <c r="AX467" i="5"/>
  <c r="AY467" i="5" s="1"/>
  <c r="F70" i="1"/>
  <c r="B231" i="2"/>
  <c r="F71" i="1" s="1"/>
  <c r="AX385" i="5"/>
  <c r="AY385" i="5" s="1"/>
  <c r="AX506" i="5"/>
  <c r="AY506" i="5" s="1"/>
  <c r="AX417" i="5"/>
  <c r="AY417" i="5" s="1"/>
  <c r="AX70" i="5"/>
  <c r="AY70" i="5" s="1"/>
  <c r="AR99" i="4"/>
  <c r="AT99" i="4" s="1"/>
  <c r="AX538" i="5"/>
  <c r="AY538" i="5" s="1"/>
  <c r="AX22" i="5"/>
  <c r="AY22" i="5" s="1"/>
  <c r="AX396" i="5"/>
  <c r="AY396" i="5" s="1"/>
  <c r="AX348" i="5"/>
  <c r="AY348" i="5" s="1"/>
  <c r="AX420" i="5"/>
  <c r="AY420" i="5" s="1"/>
  <c r="AX117" i="5"/>
  <c r="AY117" i="5" s="1"/>
  <c r="AX433" i="5"/>
  <c r="AY433" i="5" s="1"/>
  <c r="AX484" i="5"/>
  <c r="AY484" i="5" s="1"/>
  <c r="AX553" i="5"/>
  <c r="AY553" i="5" s="1"/>
  <c r="AX471" i="5"/>
  <c r="AY471" i="5" s="1"/>
  <c r="AX203" i="5"/>
  <c r="AY203" i="5" s="1"/>
  <c r="AX204" i="5"/>
  <c r="AY204" i="5" s="1"/>
  <c r="AX480" i="5"/>
  <c r="AY480" i="5" s="1"/>
  <c r="AX453" i="5"/>
  <c r="AY453" i="5" s="1"/>
  <c r="AR107" i="4"/>
  <c r="AT107" i="4" s="1"/>
  <c r="AX138" i="5"/>
  <c r="AY138" i="5" s="1"/>
  <c r="AX439" i="5"/>
  <c r="AY439" i="5" s="1"/>
  <c r="AX108" i="5"/>
  <c r="AY108" i="5" s="1"/>
  <c r="AR16" i="4"/>
  <c r="AT16" i="4" s="1"/>
  <c r="AX304" i="5"/>
  <c r="AY304" i="5" s="1"/>
  <c r="AX532" i="5"/>
  <c r="AY532" i="5" s="1"/>
  <c r="AR115" i="4"/>
  <c r="AT115" i="4" s="1"/>
  <c r="AR42" i="4"/>
  <c r="AT42" i="4" s="1"/>
  <c r="AX121" i="5"/>
  <c r="AY121" i="5" s="1"/>
  <c r="AX289" i="5"/>
  <c r="AY289" i="5" s="1"/>
  <c r="AX490" i="5"/>
  <c r="AY490" i="5" s="1"/>
  <c r="AX297" i="5"/>
  <c r="AY297" i="5" s="1"/>
  <c r="AX514" i="5"/>
  <c r="AY514" i="5" s="1"/>
  <c r="AX136" i="5"/>
  <c r="AY136" i="5" s="1"/>
  <c r="AX397" i="5"/>
  <c r="AY397" i="5" s="1"/>
  <c r="AX543" i="5"/>
  <c r="AY543" i="5" s="1"/>
  <c r="AX100" i="5"/>
  <c r="AY100" i="5" s="1"/>
  <c r="AX346" i="5"/>
  <c r="AY346" i="5" s="1"/>
  <c r="AX460" i="5"/>
  <c r="AY460" i="5" s="1"/>
  <c r="AO73" i="4"/>
  <c r="AG73" i="4"/>
  <c r="AI73" i="4" s="1"/>
  <c r="AX69" i="5"/>
  <c r="AY69" i="5" s="1"/>
  <c r="AX416" i="5"/>
  <c r="AY416" i="5" s="1"/>
  <c r="AX268" i="5"/>
  <c r="AY268" i="5" s="1"/>
  <c r="AX399" i="5"/>
  <c r="AY399" i="5" s="1"/>
  <c r="AX281" i="5"/>
  <c r="AY281" i="5" s="1"/>
  <c r="AX330" i="5"/>
  <c r="AY330" i="5" s="1"/>
  <c r="AX375" i="5"/>
  <c r="AY375" i="5" s="1"/>
  <c r="AX192" i="5"/>
  <c r="AY192" i="5" s="1"/>
  <c r="AX126" i="5"/>
  <c r="AY126" i="5" s="1"/>
  <c r="AX162" i="5"/>
  <c r="AY162" i="5" s="1"/>
  <c r="AX170" i="5"/>
  <c r="AY170" i="5" s="1"/>
  <c r="AX336" i="5"/>
  <c r="AY336" i="5" s="1"/>
  <c r="AX293" i="5"/>
  <c r="AY293" i="5" s="1"/>
  <c r="AR117" i="4"/>
  <c r="AT117" i="4" s="1"/>
  <c r="AX91" i="5"/>
  <c r="AY91" i="5" s="1"/>
  <c r="AR119" i="4"/>
  <c r="AT119" i="4" s="1"/>
  <c r="AX524" i="5"/>
  <c r="AY524" i="5" s="1"/>
  <c r="AX437" i="5"/>
  <c r="AY437" i="5" s="1"/>
  <c r="AR56" i="4"/>
  <c r="AT56" i="4" s="1"/>
  <c r="AX296" i="5"/>
  <c r="AY296" i="5" s="1"/>
  <c r="AX253" i="5"/>
  <c r="AY253" i="5" s="1"/>
  <c r="AX502" i="5"/>
  <c r="AY502" i="5" s="1"/>
  <c r="AX391" i="5"/>
  <c r="AY391" i="5" s="1"/>
  <c r="AX250" i="5"/>
  <c r="AY250" i="5" s="1"/>
  <c r="AX412" i="5"/>
  <c r="AY412" i="5" s="1"/>
  <c r="AX114" i="5"/>
  <c r="AY114" i="5" s="1"/>
  <c r="AR110" i="4"/>
  <c r="AT110" i="4" s="1"/>
  <c r="AX284" i="5"/>
  <c r="AY284" i="5" s="1"/>
  <c r="AX533" i="5"/>
  <c r="AY533" i="5" s="1"/>
  <c r="AX332" i="5"/>
  <c r="AY332" i="5" s="1"/>
  <c r="AX327" i="5"/>
  <c r="AY327" i="5" s="1"/>
  <c r="AR13" i="4"/>
  <c r="AT13" i="4" s="1"/>
  <c r="AX31" i="5"/>
  <c r="AY31" i="5" s="1"/>
  <c r="AX285" i="5"/>
  <c r="AY285" i="5" s="1"/>
  <c r="AX181" i="5"/>
  <c r="AY181" i="5" s="1"/>
  <c r="AX406" i="5"/>
  <c r="AY406" i="5" s="1"/>
  <c r="AX363" i="5"/>
  <c r="AY363" i="5" s="1"/>
  <c r="AX142" i="5"/>
  <c r="AY142" i="5" s="1"/>
  <c r="AX38" i="5"/>
  <c r="AY38" i="5" s="1"/>
  <c r="AX499" i="5"/>
  <c r="AY499" i="5" s="1"/>
  <c r="AX370" i="5" l="1"/>
  <c r="AY370" i="5" s="1"/>
  <c r="AY247" i="5"/>
  <c r="AR81" i="4"/>
  <c r="AT81" i="4" s="1"/>
  <c r="AO127" i="4"/>
  <c r="AR127" i="4" s="1"/>
  <c r="AT127" i="4" s="1"/>
  <c r="AR111" i="4"/>
  <c r="AT111" i="4" s="1"/>
  <c r="AR66" i="4"/>
  <c r="AT66" i="4" s="1"/>
  <c r="AO12" i="4"/>
  <c r="AR12" i="4" s="1"/>
  <c r="AT12" i="4" s="1"/>
  <c r="AR92" i="4"/>
  <c r="AT92" i="4" s="1"/>
  <c r="AR123" i="4"/>
  <c r="AT123" i="4" s="1"/>
  <c r="AG100" i="4"/>
  <c r="AI100" i="4" s="1"/>
  <c r="AR100" i="4" s="1"/>
  <c r="AT100" i="4" s="1"/>
  <c r="AG47" i="4"/>
  <c r="AI47" i="4" s="1"/>
  <c r="AR47" i="4" s="1"/>
  <c r="AT47" i="4" s="1"/>
  <c r="AX512" i="5"/>
  <c r="AY512" i="5" s="1"/>
  <c r="AO76" i="4"/>
  <c r="AR76" i="4" s="1"/>
  <c r="AT76" i="4" s="1"/>
  <c r="AO38" i="4"/>
  <c r="AR38" i="4" s="1"/>
  <c r="AT38" i="4" s="1"/>
  <c r="AX522" i="5"/>
  <c r="AY522" i="5" s="1"/>
  <c r="AX458" i="5"/>
  <c r="AY458" i="5" s="1"/>
  <c r="AG91" i="4"/>
  <c r="AI91" i="4" s="1"/>
  <c r="AR91" i="4" s="1"/>
  <c r="AT91" i="4" s="1"/>
  <c r="AX234" i="5"/>
  <c r="AY234" i="5" s="1"/>
  <c r="AX508" i="5"/>
  <c r="AY508" i="5" s="1"/>
  <c r="AG63" i="4"/>
  <c r="AI63" i="4" s="1"/>
  <c r="AR63" i="4" s="1"/>
  <c r="AT63" i="4" s="1"/>
  <c r="AX537" i="5"/>
  <c r="AY537" i="5" s="1"/>
  <c r="AX446" i="5"/>
  <c r="AY446" i="5" s="1"/>
  <c r="AX378" i="5"/>
  <c r="AY378" i="5" s="1"/>
  <c r="AX482" i="5"/>
  <c r="AY482" i="5" s="1"/>
  <c r="AY240" i="5"/>
  <c r="AO37" i="4"/>
  <c r="AR37" i="4" s="1"/>
  <c r="AT37" i="4" s="1"/>
  <c r="AX402" i="5"/>
  <c r="AY402" i="5" s="1"/>
  <c r="AX469" i="5"/>
  <c r="AY469" i="5" s="1"/>
  <c r="AX529" i="5"/>
  <c r="AY529" i="5" s="1"/>
  <c r="AX462" i="5"/>
  <c r="AY462" i="5" s="1"/>
  <c r="AX465" i="5"/>
  <c r="AY465" i="5" s="1"/>
  <c r="AX243" i="5"/>
  <c r="AY243" i="5" s="1"/>
  <c r="AX540" i="5"/>
  <c r="AY540" i="5" s="1"/>
  <c r="AR142" i="4"/>
  <c r="AT142" i="4" s="1"/>
  <c r="AX468" i="5"/>
  <c r="AY468" i="5" s="1"/>
  <c r="AX307" i="5"/>
  <c r="AY307" i="5" s="1"/>
  <c r="AX518" i="5"/>
  <c r="AY518" i="5" s="1"/>
  <c r="AX555" i="5"/>
  <c r="AY555" i="5" s="1"/>
  <c r="AX312" i="5"/>
  <c r="AY312" i="5" s="1"/>
  <c r="AX390" i="5"/>
  <c r="AY390" i="5" s="1"/>
  <c r="AX455" i="5"/>
  <c r="AY455" i="5" s="1"/>
  <c r="AX478" i="5"/>
  <c r="AY478" i="5" s="1"/>
  <c r="AX474" i="5"/>
  <c r="AY474" i="5" s="1"/>
  <c r="AX266" i="5"/>
  <c r="AY266" i="5" s="1"/>
  <c r="AX200" i="5"/>
  <c r="AY200" i="5" s="1"/>
  <c r="AX57" i="5"/>
  <c r="AY57" i="5" s="1"/>
  <c r="AX374" i="5"/>
  <c r="AY374" i="5" s="1"/>
  <c r="AX410" i="5"/>
  <c r="AY410" i="5" s="1"/>
  <c r="AR125" i="4"/>
  <c r="AT125" i="4" s="1"/>
  <c r="AX41" i="5"/>
  <c r="AY41" i="5" s="1"/>
  <c r="AG22" i="4"/>
  <c r="AI22" i="4" s="1"/>
  <c r="AR22" i="4" s="1"/>
  <c r="AT22" i="4" s="1"/>
  <c r="AX513" i="5"/>
  <c r="AY513" i="5" s="1"/>
  <c r="AX305" i="5"/>
  <c r="AY305" i="5" s="1"/>
  <c r="AX315" i="5"/>
  <c r="AY315" i="5" s="1"/>
  <c r="AX295" i="5"/>
  <c r="AY295" i="5" s="1"/>
  <c r="AX213" i="5"/>
  <c r="AY213" i="5" s="1"/>
  <c r="AX221" i="5"/>
  <c r="AY221" i="5" s="1"/>
  <c r="AX145" i="5"/>
  <c r="AY145" i="5" s="1"/>
  <c r="AX185" i="5"/>
  <c r="AY185" i="5" s="1"/>
  <c r="AX443" i="5"/>
  <c r="AY443" i="5" s="1"/>
  <c r="AX36" i="5"/>
  <c r="AY36" i="5" s="1"/>
  <c r="AX360" i="5"/>
  <c r="AY360" i="5" s="1"/>
  <c r="AX354" i="5"/>
  <c r="AY354" i="5" s="1"/>
  <c r="AX359" i="5"/>
  <c r="AY359" i="5" s="1"/>
  <c r="AX248" i="5"/>
  <c r="AY248" i="5" s="1"/>
  <c r="AX301" i="5"/>
  <c r="AY301" i="5" s="1"/>
  <c r="AX174" i="5"/>
  <c r="AY174" i="5" s="1"/>
  <c r="AX112" i="5"/>
  <c r="AY112" i="5" s="1"/>
  <c r="AX428" i="5"/>
  <c r="AY428" i="5" s="1"/>
  <c r="AX310" i="5"/>
  <c r="AY310" i="5" s="1"/>
  <c r="AX47" i="5"/>
  <c r="AY47" i="5" s="1"/>
  <c r="AX157" i="5"/>
  <c r="AY157" i="5" s="1"/>
  <c r="AX493" i="5"/>
  <c r="AY493" i="5" s="1"/>
  <c r="AX119" i="5"/>
  <c r="AY119" i="5" s="1"/>
  <c r="AX344" i="5"/>
  <c r="AY344" i="5" s="1"/>
  <c r="AX60" i="5"/>
  <c r="AY60" i="5" s="1"/>
  <c r="AX461" i="5"/>
  <c r="AY461" i="5" s="1"/>
  <c r="AX259" i="5"/>
  <c r="AY259" i="5" s="1"/>
  <c r="AX238" i="5"/>
  <c r="AY238" i="5" s="1"/>
  <c r="AX403" i="5"/>
  <c r="AY403" i="5" s="1"/>
  <c r="AX194" i="5"/>
  <c r="AY194" i="5" s="1"/>
  <c r="AX66" i="5"/>
  <c r="AY66" i="5" s="1"/>
  <c r="AX93" i="5"/>
  <c r="AY93" i="5" s="1"/>
  <c r="AX178" i="5"/>
  <c r="AY178" i="5" s="1"/>
  <c r="AX263" i="5"/>
  <c r="AY263" i="5" s="1"/>
  <c r="AX89" i="5"/>
  <c r="AY89" i="5" s="1"/>
  <c r="AX244" i="5"/>
  <c r="AY244" i="5" s="1"/>
  <c r="AX140" i="5"/>
  <c r="AY140" i="5" s="1"/>
  <c r="AX276" i="5"/>
  <c r="AY276" i="5" s="1"/>
  <c r="AX220" i="5"/>
  <c r="AY220" i="5" s="1"/>
  <c r="AX210" i="5"/>
  <c r="AY210" i="5" s="1"/>
  <c r="AX550" i="5"/>
  <c r="AY550" i="5" s="1"/>
  <c r="AX452" i="5"/>
  <c r="AY452" i="5" s="1"/>
  <c r="AX75" i="5"/>
  <c r="AY75" i="5" s="1"/>
  <c r="AX383" i="5"/>
  <c r="AY383" i="5" s="1"/>
  <c r="AX404" i="5"/>
  <c r="AY404" i="5" s="1"/>
  <c r="AX401" i="5"/>
  <c r="AY401" i="5" s="1"/>
  <c r="AX230" i="5"/>
  <c r="AY230" i="5" s="1"/>
  <c r="AX317" i="5"/>
  <c r="AY317" i="5" s="1"/>
  <c r="AX554" i="5"/>
  <c r="AY554" i="5" s="1"/>
  <c r="AX149" i="5"/>
  <c r="AY149" i="5" s="1"/>
  <c r="AX104" i="5"/>
  <c r="AY104" i="5" s="1"/>
  <c r="AX237" i="5"/>
  <c r="AY237" i="5" s="1"/>
  <c r="AX82" i="5"/>
  <c r="AY82" i="5" s="1"/>
  <c r="AX133" i="5"/>
  <c r="AY133" i="5" s="1"/>
  <c r="AX110" i="5"/>
  <c r="AY110" i="5" s="1"/>
  <c r="AX377" i="5"/>
  <c r="AY377" i="5" s="1"/>
  <c r="AX217" i="5"/>
  <c r="AY217" i="5" s="1"/>
  <c r="AX228" i="5"/>
  <c r="AY228" i="5" s="1"/>
  <c r="AX98" i="5"/>
  <c r="AY98" i="5" s="1"/>
  <c r="AX492" i="5"/>
  <c r="AY492" i="5" s="1"/>
  <c r="AX501" i="5"/>
  <c r="AY501" i="5" s="1"/>
  <c r="AX496" i="5"/>
  <c r="AY496" i="5" s="1"/>
  <c r="AX74" i="5"/>
  <c r="AY74" i="5" s="1"/>
  <c r="AX167" i="5"/>
  <c r="AY167" i="5" s="1"/>
  <c r="AX405" i="5"/>
  <c r="AY405" i="5" s="1"/>
  <c r="AX131" i="5"/>
  <c r="AY131" i="5" s="1"/>
  <c r="AX387" i="5"/>
  <c r="AY387" i="5" s="1"/>
  <c r="AX65" i="5"/>
  <c r="AY65" i="5" s="1"/>
  <c r="AX400" i="5"/>
  <c r="AY400" i="5" s="1"/>
  <c r="AX156" i="5"/>
  <c r="AY156" i="5" s="1"/>
  <c r="AX64" i="5"/>
  <c r="AY64" i="5" s="1"/>
  <c r="AX409" i="5"/>
  <c r="AY409" i="5" s="1"/>
  <c r="AX196" i="5"/>
  <c r="AY196" i="5" s="1"/>
  <c r="AX473" i="5"/>
  <c r="AY473" i="5" s="1"/>
  <c r="AX528" i="5"/>
  <c r="AY528" i="5" s="1"/>
  <c r="AO133" i="4"/>
  <c r="AR133" i="4" s="1"/>
  <c r="AT133" i="4" s="1"/>
  <c r="AX291" i="5"/>
  <c r="AY291" i="5" s="1"/>
  <c r="AX527" i="5"/>
  <c r="AY527" i="5" s="1"/>
  <c r="AX320" i="5"/>
  <c r="AY320" i="5" s="1"/>
  <c r="AX271" i="5"/>
  <c r="AY271" i="5" s="1"/>
  <c r="AX558" i="5"/>
  <c r="AY558" i="5" s="1"/>
  <c r="AX249" i="5"/>
  <c r="AY249" i="5" s="1"/>
  <c r="AX510" i="5"/>
  <c r="AY510" i="5" s="1"/>
  <c r="AX322" i="5"/>
  <c r="AY322" i="5" s="1"/>
  <c r="AG26" i="4"/>
  <c r="AI26" i="4" s="1"/>
  <c r="AO26" i="4"/>
  <c r="AX340" i="5"/>
  <c r="AY340" i="5" s="1"/>
  <c r="AX298" i="5"/>
  <c r="AY298" i="5" s="1"/>
  <c r="AK155" i="4"/>
  <c r="AA130" i="4"/>
  <c r="AC130" i="4" s="1"/>
  <c r="AD130" i="4" s="1"/>
  <c r="AA144" i="4"/>
  <c r="AC144" i="4" s="1"/>
  <c r="AD144" i="4" s="1"/>
  <c r="AA155" i="4"/>
  <c r="AC155" i="4" s="1"/>
  <c r="AD155" i="4" s="1"/>
  <c r="AX235" i="5"/>
  <c r="AY235" i="5" s="1"/>
  <c r="AX292" i="5"/>
  <c r="AY292" i="5" s="1"/>
  <c r="AX486" i="5"/>
  <c r="AY486" i="5" s="1"/>
  <c r="AX497" i="5"/>
  <c r="AY497" i="5" s="1"/>
  <c r="AX457" i="5"/>
  <c r="AY457" i="5" s="1"/>
  <c r="AR84" i="4"/>
  <c r="AT84" i="4" s="1"/>
  <c r="AR79" i="4"/>
  <c r="AT79" i="4" s="1"/>
  <c r="AK144" i="4"/>
  <c r="AX325" i="5"/>
  <c r="AY325" i="5" s="1"/>
  <c r="AG130" i="4"/>
  <c r="AI130" i="4" s="1"/>
  <c r="AO130" i="4"/>
  <c r="AO62" i="4"/>
  <c r="AG62" i="4"/>
  <c r="AI62" i="4" s="1"/>
  <c r="AG10" i="4"/>
  <c r="AI10" i="4" s="1"/>
  <c r="AO10" i="4"/>
  <c r="AK141" i="4"/>
  <c r="AF141" i="4"/>
  <c r="AO101" i="4"/>
  <c r="AG101" i="4"/>
  <c r="AI101" i="4" s="1"/>
  <c r="AG144" i="4"/>
  <c r="AI144" i="4" s="1"/>
  <c r="AO144" i="4"/>
  <c r="AG94" i="4"/>
  <c r="AI94" i="4" s="1"/>
  <c r="AO94" i="4"/>
  <c r="AO58" i="4"/>
  <c r="AG58" i="4"/>
  <c r="AI58" i="4" s="1"/>
  <c r="AK130" i="4"/>
  <c r="AR132" i="4"/>
  <c r="AT132" i="4" s="1"/>
  <c r="AG24" i="4"/>
  <c r="AI24" i="4" s="1"/>
  <c r="AO24" i="4"/>
  <c r="AR105" i="4"/>
  <c r="AT105" i="4" s="1"/>
  <c r="AO155" i="4"/>
  <c r="AG155" i="4"/>
  <c r="AI155" i="4" s="1"/>
  <c r="AR140" i="4"/>
  <c r="AT140" i="4" s="1"/>
  <c r="AG83" i="4"/>
  <c r="AI83" i="4" s="1"/>
  <c r="AO83" i="4"/>
  <c r="AG34" i="4"/>
  <c r="AI34" i="4" s="1"/>
  <c r="AO34" i="4"/>
  <c r="AG59" i="4"/>
  <c r="AI59" i="4" s="1"/>
  <c r="AO59" i="4"/>
  <c r="AG21" i="4"/>
  <c r="AI21" i="4" s="1"/>
  <c r="AO21" i="4"/>
  <c r="AX207" i="5"/>
  <c r="AY207" i="5" s="1"/>
  <c r="AX233" i="5"/>
  <c r="AY233" i="5" s="1"/>
  <c r="AX549" i="5"/>
  <c r="AY549" i="5" s="1"/>
  <c r="AX195" i="5"/>
  <c r="AY195" i="5" s="1"/>
  <c r="AX546" i="5"/>
  <c r="AY546" i="5" s="1"/>
  <c r="AX442" i="5"/>
  <c r="AY442" i="5" s="1"/>
  <c r="AR86" i="4"/>
  <c r="AT86" i="4" s="1"/>
  <c r="AR8" i="4"/>
  <c r="AT8" i="4" s="1"/>
  <c r="AR54" i="4"/>
  <c r="AT54" i="4" s="1"/>
  <c r="AX352" i="5"/>
  <c r="AY352" i="5" s="1"/>
  <c r="AX422" i="5"/>
  <c r="AY422" i="5" s="1"/>
  <c r="AX51" i="5"/>
  <c r="AY51" i="5" s="1"/>
  <c r="AX545" i="5"/>
  <c r="AY545" i="5" s="1"/>
  <c r="AX534" i="5"/>
  <c r="AY534" i="5" s="1"/>
  <c r="AX419" i="5"/>
  <c r="AY419" i="5" s="1"/>
  <c r="AX190" i="5"/>
  <c r="AY190" i="5" s="1"/>
  <c r="AX55" i="5"/>
  <c r="AY55" i="5" s="1"/>
  <c r="AX541" i="5"/>
  <c r="AY541" i="5" s="1"/>
  <c r="AX526" i="5"/>
  <c r="AY526" i="5" s="1"/>
  <c r="AX246" i="5"/>
  <c r="AY246" i="5" s="1"/>
  <c r="AX357" i="5"/>
  <c r="AY357" i="5" s="1"/>
  <c r="AX95" i="5"/>
  <c r="AY95" i="5" s="1"/>
  <c r="AX124" i="5"/>
  <c r="AY124" i="5" s="1"/>
  <c r="AX106" i="5"/>
  <c r="AY106" i="5" s="1"/>
  <c r="AX164" i="5"/>
  <c r="AY164" i="5" s="1"/>
  <c r="AX61" i="5"/>
  <c r="AY61" i="5" s="1"/>
  <c r="AX171" i="5"/>
  <c r="AY171" i="5" s="1"/>
  <c r="AX154" i="5"/>
  <c r="AY154" i="5" s="1"/>
  <c r="AX152" i="5"/>
  <c r="AY152" i="5" s="1"/>
  <c r="AX27" i="5"/>
  <c r="AY27" i="5" s="1"/>
  <c r="AX516" i="5"/>
  <c r="AY516" i="5" s="1"/>
  <c r="AX227" i="5"/>
  <c r="AY227" i="5" s="1"/>
  <c r="AX88" i="5"/>
  <c r="AY88" i="5" s="1"/>
  <c r="AX519" i="5"/>
  <c r="AY519" i="5" s="1"/>
  <c r="AX366" i="5"/>
  <c r="AY366" i="5" s="1"/>
  <c r="AX242" i="5"/>
  <c r="AY242" i="5" s="1"/>
  <c r="AX189" i="5"/>
  <c r="AY189" i="5" s="1"/>
  <c r="AX441" i="5"/>
  <c r="AY441" i="5" s="1"/>
  <c r="B128" i="2"/>
  <c r="B134" i="2" s="1"/>
  <c r="AX50" i="5"/>
  <c r="AY50" i="5" s="1"/>
  <c r="AX40" i="5"/>
  <c r="AY40" i="5" s="1"/>
  <c r="AX29" i="5"/>
  <c r="AY29" i="5" s="1"/>
  <c r="AX414" i="5"/>
  <c r="AY414" i="5" s="1"/>
  <c r="AX155" i="5"/>
  <c r="AY155" i="5" s="1"/>
  <c r="AX334" i="5"/>
  <c r="AY334" i="5" s="1"/>
  <c r="AX430" i="5"/>
  <c r="AY430" i="5" s="1"/>
  <c r="K142" i="2"/>
  <c r="B131" i="2"/>
  <c r="B132" i="2" s="1"/>
  <c r="AR20" i="4"/>
  <c r="AT20" i="4" s="1"/>
  <c r="AX530" i="5"/>
  <c r="AY530" i="5" s="1"/>
  <c r="AR23" i="4"/>
  <c r="AT23" i="4" s="1"/>
  <c r="AR135" i="4"/>
  <c r="AT135" i="4" s="1"/>
  <c r="AR109" i="4"/>
  <c r="AT109" i="4" s="1"/>
  <c r="AR35" i="4"/>
  <c r="AT35" i="4" s="1"/>
  <c r="AR39" i="4"/>
  <c r="AT39" i="4" s="1"/>
  <c r="AR95" i="4"/>
  <c r="AT95" i="4" s="1"/>
  <c r="AR52" i="4"/>
  <c r="AT52" i="4" s="1"/>
  <c r="AR157" i="4"/>
  <c r="AT157" i="4" s="1"/>
  <c r="AR64" i="4"/>
  <c r="AT64" i="4" s="1"/>
  <c r="AR116" i="4"/>
  <c r="AT116" i="4" s="1"/>
  <c r="AR128" i="4"/>
  <c r="AT128" i="4" s="1"/>
  <c r="AR14" i="4"/>
  <c r="AT14" i="4" s="1"/>
  <c r="AR148" i="4"/>
  <c r="AT148" i="4" s="1"/>
  <c r="AR7" i="4"/>
  <c r="AT7" i="4" s="1"/>
  <c r="AR77" i="4"/>
  <c r="AT77" i="4" s="1"/>
  <c r="AR126" i="4"/>
  <c r="AT126" i="4" s="1"/>
  <c r="AR69" i="4"/>
  <c r="AT69" i="4" s="1"/>
  <c r="AR150" i="4"/>
  <c r="AT150" i="4" s="1"/>
  <c r="AR137" i="4"/>
  <c r="AT137" i="4" s="1"/>
  <c r="AR93" i="4"/>
  <c r="AT93" i="4" s="1"/>
  <c r="AR134" i="4"/>
  <c r="AT134" i="4" s="1"/>
  <c r="AR73" i="4"/>
  <c r="AT73" i="4" s="1"/>
  <c r="AR26" i="4" l="1"/>
  <c r="AT26" i="4" s="1"/>
  <c r="AR59" i="4"/>
  <c r="AT59" i="4" s="1"/>
  <c r="AR94" i="4"/>
  <c r="AT94" i="4" s="1"/>
  <c r="AR10" i="4"/>
  <c r="AT10" i="4" s="1"/>
  <c r="AR34" i="4"/>
  <c r="AT34" i="4" s="1"/>
  <c r="AR24" i="4"/>
  <c r="AT24" i="4" s="1"/>
  <c r="AR144" i="4"/>
  <c r="AT144" i="4" s="1"/>
  <c r="AR155" i="4"/>
  <c r="AT155" i="4" s="1"/>
  <c r="AR130" i="4"/>
  <c r="AT130" i="4" s="1"/>
  <c r="AR21" i="4"/>
  <c r="AT21" i="4" s="1"/>
  <c r="AG141" i="4"/>
  <c r="AI141" i="4" s="1"/>
  <c r="AO141" i="4"/>
  <c r="AR58" i="4"/>
  <c r="AT58" i="4" s="1"/>
  <c r="AR62" i="4"/>
  <c r="AT62" i="4" s="1"/>
  <c r="AR83" i="4"/>
  <c r="AT83" i="4" s="1"/>
  <c r="AR101" i="4"/>
  <c r="AT101" i="4" s="1"/>
  <c r="AY14" i="5"/>
  <c r="D69" i="5" s="1"/>
  <c r="B69" i="5" s="1"/>
  <c r="A69" i="5" s="1"/>
  <c r="L68" i="1" s="1"/>
  <c r="K136" i="2"/>
  <c r="B136" i="2" s="1"/>
  <c r="H31" i="1" s="1"/>
  <c r="AY12" i="5"/>
  <c r="D68" i="5" s="1"/>
  <c r="B68" i="5" s="1"/>
  <c r="A68" i="5" s="1"/>
  <c r="L67" i="1" s="1"/>
  <c r="B135" i="2"/>
  <c r="H30" i="1" s="1"/>
  <c r="AR141" i="4" l="1"/>
  <c r="AT141"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BMC-BCS</author>
    <author>Schauer, Stefan</author>
  </authors>
  <commentList>
    <comment ref="A3" authorId="0" shapeId="0" xr:uid="{00000000-0006-0000-0000-000001000000}">
      <text>
        <r>
          <rPr>
            <b/>
            <sz val="11"/>
            <color indexed="10"/>
            <rFont val="Tahoma"/>
            <family val="2"/>
          </rPr>
          <t>Welcome to the LM5155 Design Tool</t>
        </r>
        <r>
          <rPr>
            <sz val="9"/>
            <color indexed="81"/>
            <rFont val="Tahoma"/>
            <family val="2"/>
          </rPr>
          <t xml:space="preserve">
This stand-alone tool facilitates and assists the power supply engineer with design of a DC-DC boost converter based on the LM5155 boost controller. As such, the user can expeditiously arrive at an optimized design by virtue of the following:
- Select components
- Optimize compensation values and pole/zero placement in terms of control loop stability using crossover frquency as a performance metric
- Inspect regulator efficiency and component power dissipation
- Analyze efficiency based on selected MOSFET, inductor and diode parameters
Note: When not using an english Excel version and a #name error is displayed after change a value try pressing Shift+ALT+CTRL+F9 and change the value again.
IMPORTANT: You must enable macros if Microsoft Excel asks as the file is being opened. U.S. English notation is used throughout. Make sure to input or select values in all of the yellow shaded cells even if a value already exists in that cell. Do not over write equations in cells, as this may result in calculation errors.
</t>
        </r>
      </text>
    </comment>
    <comment ref="G7" authorId="0" shapeId="0" xr:uid="{00000000-0006-0000-0000-000003000000}">
      <text>
        <r>
          <rPr>
            <b/>
            <sz val="9"/>
            <color indexed="81"/>
            <rFont val="Tahoma"/>
            <family val="2"/>
          </rPr>
          <t xml:space="preserve">Minimum Input Voltage:
</t>
        </r>
        <r>
          <rPr>
            <sz val="9"/>
            <color indexed="81"/>
            <rFont val="Tahoma"/>
            <family val="2"/>
          </rPr>
          <t>Enter the minimum operating input voltage.
The LM5155 BIAS pin voltage operating range is 3.5V to 45V.
The LM5156 BIAS pin voltage operating range is 3.5V to 60V.
If low voltage operation is required the BIAS pin can be supplied with V</t>
        </r>
        <r>
          <rPr>
            <vertAlign val="subscript"/>
            <sz val="9"/>
            <color indexed="81"/>
            <rFont val="Tahoma"/>
            <family val="2"/>
          </rPr>
          <t>OUT</t>
        </r>
        <r>
          <rPr>
            <sz val="9"/>
            <color indexed="81"/>
            <rFont val="Tahoma"/>
            <family val="2"/>
          </rPr>
          <t xml:space="preserve"> extending operation to 1.5V</t>
        </r>
        <r>
          <rPr>
            <b/>
            <sz val="9"/>
            <color indexed="81"/>
            <rFont val="Tahoma"/>
            <family val="2"/>
          </rPr>
          <t xml:space="preserve">
</t>
        </r>
        <r>
          <rPr>
            <b/>
            <sz val="9"/>
            <color indexed="52"/>
            <rFont val="Tahoma"/>
            <family val="2"/>
          </rPr>
          <t>The text in the cell is flagged orange if:</t>
        </r>
        <r>
          <rPr>
            <b/>
            <sz val="9"/>
            <color indexed="81"/>
            <rFont val="Tahoma"/>
            <family val="2"/>
          </rPr>
          <t xml:space="preserve">
</t>
        </r>
        <r>
          <rPr>
            <sz val="9"/>
            <color indexed="81"/>
            <rFont val="Tahoma"/>
            <family val="2"/>
          </rPr>
          <t>-The input voltage is above 45V</t>
        </r>
        <r>
          <rPr>
            <b/>
            <sz val="9"/>
            <color indexed="81"/>
            <rFont val="Tahoma"/>
            <family val="2"/>
          </rPr>
          <t xml:space="preserve">
</t>
        </r>
        <r>
          <rPr>
            <b/>
            <sz val="9"/>
            <color indexed="10"/>
            <rFont val="Tahoma"/>
            <family val="2"/>
          </rPr>
          <t>The text in the cell is flagged red if:</t>
        </r>
        <r>
          <rPr>
            <b/>
            <sz val="9"/>
            <color indexed="81"/>
            <rFont val="Tahoma"/>
            <family val="2"/>
          </rPr>
          <t xml:space="preserve">
</t>
        </r>
        <r>
          <rPr>
            <sz val="9"/>
            <color indexed="81"/>
            <rFont val="Tahoma"/>
            <family val="2"/>
          </rPr>
          <t>-The input voltage is above 60V
-The input voltage is below 1.5V</t>
        </r>
      </text>
    </comment>
    <comment ref="G8" authorId="0" shapeId="0" xr:uid="{00000000-0006-0000-0000-000004000000}">
      <text>
        <r>
          <rPr>
            <b/>
            <sz val="9"/>
            <color indexed="81"/>
            <rFont val="Tahoma"/>
            <family val="2"/>
          </rPr>
          <t xml:space="preserve">Nominal Input Voltage:
</t>
        </r>
        <r>
          <rPr>
            <sz val="9"/>
            <color indexed="81"/>
            <rFont val="Tahoma"/>
            <family val="2"/>
          </rPr>
          <t>Enter the nominal operating input voltage.
The LM5155 input voltage operating range is 1.5V to 45V.</t>
        </r>
        <r>
          <rPr>
            <b/>
            <sz val="9"/>
            <color indexed="81"/>
            <rFont val="Tahoma"/>
            <family val="2"/>
          </rPr>
          <t xml:space="preserve">
</t>
        </r>
        <r>
          <rPr>
            <sz val="9"/>
            <color indexed="81"/>
            <rFont val="Tahoma"/>
            <family val="2"/>
          </rPr>
          <t xml:space="preserve">The LM5156 input voltage operating range is 1.5V to 60V.
</t>
        </r>
        <r>
          <rPr>
            <b/>
            <sz val="9"/>
            <color indexed="81"/>
            <rFont val="Tahoma"/>
            <family val="2"/>
          </rPr>
          <t xml:space="preserve">
</t>
        </r>
        <r>
          <rPr>
            <b/>
            <sz val="9"/>
            <color indexed="10"/>
            <rFont val="Tahoma"/>
            <family val="2"/>
          </rPr>
          <t>The text in the cell is flagged red if:</t>
        </r>
        <r>
          <rPr>
            <b/>
            <sz val="9"/>
            <color indexed="81"/>
            <rFont val="Tahoma"/>
            <family val="2"/>
          </rPr>
          <t xml:space="preserve">
</t>
        </r>
        <r>
          <rPr>
            <sz val="9"/>
            <color indexed="81"/>
            <rFont val="Tahoma"/>
            <family val="2"/>
          </rPr>
          <t>-The input voltage is above V</t>
        </r>
        <r>
          <rPr>
            <vertAlign val="subscript"/>
            <sz val="9"/>
            <color indexed="81"/>
            <rFont val="Tahoma"/>
            <family val="2"/>
          </rPr>
          <t>SUPPLY</t>
        </r>
        <r>
          <rPr>
            <sz val="9"/>
            <color indexed="81"/>
            <rFont val="Tahoma"/>
            <family val="2"/>
          </rPr>
          <t>(max)
-The input voltage is below V</t>
        </r>
        <r>
          <rPr>
            <vertAlign val="subscript"/>
            <sz val="9"/>
            <color indexed="81"/>
            <rFont val="Tahoma"/>
            <family val="2"/>
          </rPr>
          <t>SUPPLY</t>
        </r>
        <r>
          <rPr>
            <sz val="9"/>
            <color indexed="81"/>
            <rFont val="Tahoma"/>
            <family val="2"/>
          </rPr>
          <t>(min)</t>
        </r>
      </text>
    </comment>
    <comment ref="G9" authorId="0" shapeId="0" xr:uid="{00000000-0006-0000-0000-000005000000}">
      <text>
        <r>
          <rPr>
            <b/>
            <sz val="9"/>
            <color indexed="81"/>
            <rFont val="Tahoma"/>
            <family val="2"/>
          </rPr>
          <t>Maximum Input Voltage:</t>
        </r>
        <r>
          <rPr>
            <sz val="9"/>
            <color indexed="81"/>
            <rFont val="Tahoma"/>
            <family val="2"/>
          </rPr>
          <t xml:space="preserve">
Enter the maximum operating input voltage.
The LM5155 input voltage operating range is 1.5V to 45V.
The LM5156 input voltage operating range is 1.5V to 60V.
</t>
        </r>
        <r>
          <rPr>
            <b/>
            <sz val="9"/>
            <color indexed="10"/>
            <rFont val="Tahoma"/>
            <family val="2"/>
          </rPr>
          <t xml:space="preserve">
</t>
        </r>
        <r>
          <rPr>
            <b/>
            <sz val="9"/>
            <color indexed="52"/>
            <rFont val="Tahoma"/>
            <family val="2"/>
          </rPr>
          <t>The text in the cell is flagged orange if:</t>
        </r>
        <r>
          <rPr>
            <b/>
            <sz val="9"/>
            <color indexed="10"/>
            <rFont val="Tahoma"/>
            <family val="2"/>
          </rPr>
          <t xml:space="preserve">
</t>
        </r>
        <r>
          <rPr>
            <sz val="9"/>
            <color indexed="81"/>
            <rFont val="Tahoma"/>
            <family val="2"/>
          </rPr>
          <t>-The input voltage is above 45V</t>
        </r>
        <r>
          <rPr>
            <b/>
            <sz val="9"/>
            <color indexed="10"/>
            <rFont val="Tahoma"/>
            <family val="2"/>
          </rPr>
          <t xml:space="preserve">
The text in the cell is flagged red if:</t>
        </r>
        <r>
          <rPr>
            <sz val="9"/>
            <color indexed="81"/>
            <rFont val="Tahoma"/>
            <family val="2"/>
          </rPr>
          <t xml:space="preserve">
-The input voltage is above 60V
-The input voltage is below 1.5V
</t>
        </r>
      </text>
    </comment>
    <comment ref="G10" authorId="0" shapeId="0" xr:uid="{00000000-0006-0000-0000-000006000000}">
      <text>
        <r>
          <rPr>
            <b/>
            <sz val="9"/>
            <color indexed="81"/>
            <rFont val="Tahoma"/>
            <family val="2"/>
          </rPr>
          <t>Output Voltage:</t>
        </r>
        <r>
          <rPr>
            <sz val="9"/>
            <color indexed="81"/>
            <rFont val="Tahoma"/>
            <family val="2"/>
          </rPr>
          <t xml:space="preserve">
Enter the desired output voltage.
</t>
        </r>
      </text>
    </comment>
    <comment ref="G12" authorId="0" shapeId="0" xr:uid="{00000000-0006-0000-0000-000007000000}">
      <text>
        <r>
          <rPr>
            <b/>
            <sz val="9"/>
            <color indexed="81"/>
            <rFont val="Tahoma"/>
            <family val="2"/>
          </rPr>
          <t>Operating Frequency (set by RT):</t>
        </r>
        <r>
          <rPr>
            <sz val="9"/>
            <color indexed="81"/>
            <rFont val="Tahoma"/>
            <family val="2"/>
          </rPr>
          <t xml:space="preserve">
This cell defines the free-running switching frequency set by the RT resistor. 
</t>
        </r>
        <r>
          <rPr>
            <sz val="11"/>
            <color indexed="10"/>
            <rFont val="新細明體"/>
            <family val="2"/>
            <scheme val="minor"/>
          </rPr>
          <t>The text in the cell is flagged red if:</t>
        </r>
        <r>
          <rPr>
            <sz val="9"/>
            <color indexed="81"/>
            <rFont val="Tahoma"/>
            <family val="2"/>
          </rPr>
          <t xml:space="preserve">
-The frequency is below 100 kHz
-The frequency is above 2.2 MHz</t>
        </r>
      </text>
    </comment>
    <comment ref="G14" authorId="0" shapeId="0" xr:uid="{00000000-0006-0000-0000-000008000000}">
      <text>
        <r>
          <rPr>
            <b/>
            <sz val="9"/>
            <color indexed="81"/>
            <rFont val="Tahoma"/>
            <family val="2"/>
          </rPr>
          <t xml:space="preserve">Estimated Efficiency
</t>
        </r>
        <r>
          <rPr>
            <sz val="9"/>
            <color indexed="81"/>
            <rFont val="Tahoma"/>
            <family val="2"/>
          </rPr>
          <t>A good estimate at full load current and Vsupply(min) is around the 90% to 93% range</t>
        </r>
      </text>
    </comment>
    <comment ref="G16" authorId="0" shapeId="0" xr:uid="{00000000-0006-0000-0000-000009000000}">
      <text>
        <r>
          <rPr>
            <b/>
            <sz val="9"/>
            <color indexed="81"/>
            <rFont val="Tahoma"/>
            <family val="2"/>
          </rPr>
          <t xml:space="preserve">Maximum duty cycle
</t>
        </r>
        <r>
          <rPr>
            <sz val="9"/>
            <color indexed="81"/>
            <rFont val="Tahoma"/>
            <family val="2"/>
          </rPr>
          <t xml:space="preserve">Limit of the LM5155. See the datasheet for more detail on how the maximum duty cycle changes with switching frequency
</t>
        </r>
      </text>
    </comment>
    <comment ref="G17" authorId="1" shapeId="0" xr:uid="{08B8E066-477C-411E-B516-1DCAD11E8DA9}">
      <text>
        <r>
          <rPr>
            <b/>
            <sz val="9"/>
            <color indexed="81"/>
            <rFont val="Tahoma"/>
            <family val="2"/>
          </rPr>
          <t xml:space="preserve">Ideal Duty Cycle at Vsupply(MIN):
</t>
        </r>
        <r>
          <rPr>
            <sz val="9"/>
            <color indexed="81"/>
            <rFont val="Tahoma"/>
            <family val="2"/>
          </rPr>
          <t xml:space="preserve">
Calculated with  1- (VIN_min/VOUT). 
</t>
        </r>
        <r>
          <rPr>
            <b/>
            <sz val="9"/>
            <color indexed="10"/>
            <rFont val="Tahoma"/>
            <family val="2"/>
          </rPr>
          <t xml:space="preserve">The text in the cell is flagged red if:
</t>
        </r>
        <r>
          <rPr>
            <sz val="9"/>
            <color indexed="81"/>
            <rFont val="Tahoma"/>
            <family val="2"/>
          </rPr>
          <t xml:space="preserve">- The duty cycle is above the Limit value (in the cell above)
  Based on the limits given in the datasheet
</t>
        </r>
      </text>
    </comment>
    <comment ref="G18" authorId="1" shapeId="0" xr:uid="{74A21C24-1F16-4017-9418-3CDE4814AE31}">
      <text>
        <r>
          <rPr>
            <b/>
            <sz val="9"/>
            <color indexed="81"/>
            <rFont val="Tahoma"/>
            <family val="2"/>
          </rPr>
          <t xml:space="preserve">Select the Operation mode:
</t>
        </r>
        <r>
          <rPr>
            <sz val="9"/>
            <color indexed="81"/>
            <rFont val="Tahoma"/>
            <family val="2"/>
          </rPr>
          <t xml:space="preserve">Select the operation mode at maximum load:
CCM: Continious Contuction Mode
DCM: Discontinious Contuction Mode
</t>
        </r>
      </text>
    </comment>
    <comment ref="G21" authorId="0" shapeId="0" xr:uid="{00000000-0006-0000-0000-00000A000000}">
      <text>
        <r>
          <rPr>
            <b/>
            <sz val="9"/>
            <color indexed="81"/>
            <rFont val="Tahoma"/>
            <family val="2"/>
          </rPr>
          <t>Ripple Ratio</t>
        </r>
        <r>
          <rPr>
            <sz val="9"/>
            <color indexed="81"/>
            <rFont val="Tahoma"/>
            <family val="2"/>
          </rPr>
          <t xml:space="preserve">
Select the maximum ripple ratio of the inductor current. The maximum ripple ratio occurs when the duty cycle is 33%. 
Typically a good maximum ripple current is in the 50% to 70% range. In this range there is a good trade off between efficiency and the minimum RHP zero frequency of the plant</t>
        </r>
      </text>
    </comment>
    <comment ref="G23" authorId="0" shapeId="0" xr:uid="{00000000-0006-0000-0000-00000B000000}">
      <text>
        <r>
          <rPr>
            <b/>
            <sz val="9"/>
            <color indexed="81"/>
            <rFont val="Tahoma"/>
            <family val="2"/>
          </rPr>
          <t xml:space="preserve">Filter Inductance:
</t>
        </r>
        <r>
          <rPr>
            <sz val="9"/>
            <color indexed="81"/>
            <rFont val="Tahoma"/>
            <family val="2"/>
          </rPr>
          <t xml:space="preserve">Enter the filter inductance here.
</t>
        </r>
        <r>
          <rPr>
            <b/>
            <sz val="9"/>
            <color indexed="10"/>
            <rFont val="Tahoma"/>
            <family val="2"/>
          </rPr>
          <t xml:space="preserve">The text in the cell is flagged red if:
</t>
        </r>
        <r>
          <rPr>
            <sz val="9"/>
            <color indexed="81"/>
            <rFont val="Tahoma"/>
            <family val="2"/>
          </rPr>
          <t xml:space="preserve">The selected inductance will not be supported the above set operation mode at maximum load.
(Checked only at the 3 given Supply Voltages (Min/Nom/Max).
</t>
        </r>
      </text>
    </comment>
    <comment ref="G24" authorId="0" shapeId="0" xr:uid="{00000000-0006-0000-0000-00000C000000}">
      <text>
        <r>
          <rPr>
            <b/>
            <sz val="9"/>
            <color indexed="81"/>
            <rFont val="Tahoma"/>
            <family val="2"/>
          </rPr>
          <t xml:space="preserve">Inductor DCR:
</t>
        </r>
        <r>
          <rPr>
            <sz val="9"/>
            <color indexed="81"/>
            <rFont val="Tahoma"/>
            <family val="2"/>
          </rPr>
          <t xml:space="preserve">Enter the inductor DC resistance here. This is typically specified in the inductor datasheet at 25°C copper temperature.
</t>
        </r>
      </text>
    </comment>
    <comment ref="G25" authorId="0" shapeId="0" xr:uid="{00000000-0006-0000-0000-00000D000000}">
      <text>
        <r>
          <rPr>
            <b/>
            <sz val="9"/>
            <color indexed="81"/>
            <rFont val="Tahoma"/>
            <family val="2"/>
          </rPr>
          <t>Peak Inductor Current</t>
        </r>
        <r>
          <rPr>
            <sz val="9"/>
            <color indexed="81"/>
            <rFont val="Tahoma"/>
            <family val="2"/>
          </rPr>
          <t xml:space="preserve">
Maximum peak inductor current during normal operation.  The peak current limit calculations are based on this value</t>
        </r>
      </text>
    </comment>
    <comment ref="G28" authorId="0" shapeId="0" xr:uid="{00000000-0006-0000-0000-00000E000000}">
      <text>
        <r>
          <rPr>
            <b/>
            <sz val="9"/>
            <color indexed="81"/>
            <rFont val="Tahoma"/>
            <family val="2"/>
          </rPr>
          <t>Peak Current Limit Margin</t>
        </r>
        <r>
          <rPr>
            <sz val="9"/>
            <color indexed="81"/>
            <rFont val="Tahoma"/>
            <family val="2"/>
          </rPr>
          <t xml:space="preserve">
Margin above the calculated peak inductor current. Margin must be given to allow for load transients and component tolerances.
Value should be higher then 15% to avoid false triggers.
The recommended value from the Datasheet is 20%.</t>
        </r>
      </text>
    </comment>
    <comment ref="G29" authorId="0" shapeId="0" xr:uid="{00000000-0006-0000-0000-00000F000000}">
      <text>
        <r>
          <rPr>
            <b/>
            <sz val="9"/>
            <color indexed="81"/>
            <rFont val="Tahoma"/>
            <family val="2"/>
          </rPr>
          <t xml:space="preserve">Selected Peak Inductor Current Limt
</t>
        </r>
        <r>
          <rPr>
            <sz val="9"/>
            <color indexed="81"/>
            <rFont val="Tahoma"/>
            <family val="2"/>
          </rPr>
          <t xml:space="preserve">
Peak inductor current limit based on the margin and the steady state peak inductor current at V</t>
        </r>
        <r>
          <rPr>
            <vertAlign val="subscript"/>
            <sz val="9"/>
            <color indexed="81"/>
            <rFont val="Tahoma"/>
            <family val="2"/>
          </rPr>
          <t>IN_MIN</t>
        </r>
        <r>
          <rPr>
            <sz val="9"/>
            <color indexed="81"/>
            <rFont val="Tahoma"/>
            <family val="2"/>
          </rPr>
          <t xml:space="preserve"> and maximum output current</t>
        </r>
      </text>
    </comment>
    <comment ref="G30" authorId="0" shapeId="0" xr:uid="{00000000-0006-0000-0000-000010000000}">
      <text>
        <r>
          <rPr>
            <b/>
            <sz val="9"/>
            <color indexed="81"/>
            <rFont val="Tahoma"/>
            <family val="2"/>
          </rPr>
          <t>Current Sense Resistor Calculation</t>
        </r>
        <r>
          <rPr>
            <sz val="9"/>
            <color indexed="81"/>
            <rFont val="Tahoma"/>
            <family val="2"/>
          </rPr>
          <t xml:space="preserve">
Calculated current sense resistor based on the desired maximum peak current limit. 
</t>
        </r>
      </text>
    </comment>
    <comment ref="G31" authorId="0" shapeId="0" xr:uid="{00000000-0006-0000-0000-000011000000}">
      <text>
        <r>
          <rPr>
            <b/>
            <sz val="9"/>
            <color indexed="81"/>
            <rFont val="Tahoma"/>
            <family val="2"/>
          </rPr>
          <t>Calculated External Slope Compensation Resistor</t>
        </r>
        <r>
          <rPr>
            <sz val="9"/>
            <color indexed="81"/>
            <rFont val="Tahoma"/>
            <family val="2"/>
          </rPr>
          <t xml:space="preserve">
Calculated external slope compensation resistor based on the desired maximum peak current limit. 
</t>
        </r>
      </text>
    </comment>
    <comment ref="G35" authorId="0" shapeId="0" xr:uid="{00000000-0006-0000-0000-000013000000}">
      <text>
        <r>
          <rPr>
            <b/>
            <sz val="9"/>
            <color indexed="81"/>
            <rFont val="Tahoma"/>
            <family val="2"/>
          </rPr>
          <t>The saturation current of the inductor must be higher than the peak inductor current limint. 
Recommended Margin is ~15%</t>
        </r>
      </text>
    </comment>
    <comment ref="G38" authorId="1" shapeId="0" xr:uid="{34A1C02D-A92A-4231-935A-D27CE25D0CCD}">
      <text>
        <r>
          <rPr>
            <b/>
            <sz val="9"/>
            <color indexed="81"/>
            <rFont val="Tahoma"/>
            <family val="2"/>
          </rPr>
          <t xml:space="preserve">Peak to Peak Voltage Ripple
</t>
        </r>
        <r>
          <rPr>
            <sz val="9"/>
            <color indexed="81"/>
            <rFont val="Tahoma"/>
            <family val="2"/>
          </rPr>
          <t>Desired output voltage transient for 50% load to 100% load step.</t>
        </r>
      </text>
    </comment>
    <comment ref="G45" authorId="1" shapeId="0" xr:uid="{27BE2E58-6B05-4EB2-ACEC-FABDB0D92520}">
      <text>
        <r>
          <rPr>
            <b/>
            <sz val="9"/>
            <color indexed="81"/>
            <rFont val="Tahoma"/>
            <family val="2"/>
          </rPr>
          <t xml:space="preserve">Suggested min. Softstart Capacitor
</t>
        </r>
        <r>
          <rPr>
            <sz val="9"/>
            <color indexed="81"/>
            <rFont val="Tahoma"/>
            <family val="2"/>
          </rPr>
          <t xml:space="preserve">
The suggested min. Softstart Capacitor is set to avoid overshoot of the output voltage.
It is based on the Load Current and Output Capacitor.
</t>
        </r>
      </text>
    </comment>
    <comment ref="G57" authorId="0" shapeId="0" xr:uid="{00000000-0006-0000-0000-000014000000}">
      <text>
        <r>
          <rPr>
            <b/>
            <sz val="9"/>
            <color indexed="81"/>
            <rFont val="Tahoma"/>
            <family val="2"/>
          </rPr>
          <t xml:space="preserve">Changes the input voltage value. Allow for evaluation of the control loop and efficiency at different input voltages.
</t>
        </r>
        <r>
          <rPr>
            <b/>
            <sz val="9"/>
            <color indexed="10"/>
            <rFont val="Tahoma"/>
            <family val="2"/>
          </rPr>
          <t>The text in the cell is flagged red if:
-The variable input voltage is less than the minimum input voltage
-The variable input voltage is greater than the maximum input voltage</t>
        </r>
      </text>
    </comment>
    <comment ref="G62" authorId="1" shapeId="0" xr:uid="{CAA0D2B2-1619-4A36-A8E5-8EF89AE0C27B}">
      <text>
        <r>
          <rPr>
            <b/>
            <sz val="9"/>
            <color indexed="81"/>
            <rFont val="Tahoma"/>
            <family val="2"/>
          </rPr>
          <t>Select Bottomresistor R</t>
        </r>
        <r>
          <rPr>
            <b/>
            <sz val="8"/>
            <color indexed="81"/>
            <rFont val="Tahoma"/>
            <family val="2"/>
          </rPr>
          <t>FBB</t>
        </r>
        <r>
          <rPr>
            <b/>
            <sz val="9"/>
            <color indexed="81"/>
            <rFont val="Tahoma"/>
            <family val="2"/>
          </rPr>
          <t xml:space="preserve">
</t>
        </r>
        <r>
          <rPr>
            <sz val="9"/>
            <color indexed="81"/>
            <rFont val="Tahoma"/>
            <family val="2"/>
          </rPr>
          <t xml:space="preserve">
Select the closes value to the calculated bottom feedback resistor based on the used standard resistor series (e.g. E48).</t>
        </r>
      </text>
    </comment>
    <comment ref="F69" authorId="1" shapeId="0" xr:uid="{CA3EAB78-A137-4F5E-A063-15FB6763AD4F}">
      <text>
        <r>
          <rPr>
            <b/>
            <sz val="9"/>
            <color indexed="81"/>
            <rFont val="Tahoma"/>
            <family val="2"/>
          </rPr>
          <t xml:space="preserve">Calculated Loop Comenstation Values:
</t>
        </r>
        <r>
          <rPr>
            <sz val="9"/>
            <color indexed="81"/>
            <rFont val="Tahoma"/>
            <family val="2"/>
          </rPr>
          <t xml:space="preserve">The calculation of this loop compensation values are based on the selected bandwidth (Fco) and the minimum input Voltage Vin.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BMC-BCS</author>
  </authors>
  <commentList>
    <comment ref="K21" authorId="0" shapeId="0" xr:uid="{00000000-0006-0000-0100-000001000000}">
      <text>
        <r>
          <rPr>
            <b/>
            <sz val="9"/>
            <color indexed="81"/>
            <rFont val="Tahoma"/>
            <family val="2"/>
          </rPr>
          <t>Forced off time limit? 
[2 True, 1 False]</t>
        </r>
        <r>
          <rPr>
            <sz val="9"/>
            <color indexed="81"/>
            <rFont val="Tahoma"/>
            <family val="2"/>
          </rPr>
          <t xml:space="preserve">
</t>
        </r>
      </text>
    </comment>
    <comment ref="K141" authorId="0" shapeId="0" xr:uid="{00000000-0006-0000-0100-000002000000}">
      <text>
        <r>
          <rPr>
            <b/>
            <sz val="9"/>
            <color indexed="81"/>
            <rFont val="Tahoma"/>
            <family val="2"/>
          </rPr>
          <t xml:space="preserve">Slope Compensation flag. If this flag is tripped there is not enough slope compensation. Double check the calculated values
</t>
        </r>
        <r>
          <rPr>
            <sz val="9"/>
            <color indexed="81"/>
            <rFont val="Tahoma"/>
            <family val="2"/>
          </rPr>
          <t xml:space="preserve">
</t>
        </r>
      </text>
    </comment>
    <comment ref="K142" authorId="0" shapeId="0" xr:uid="{00000000-0006-0000-0100-000003000000}">
      <text>
        <r>
          <rPr>
            <sz val="9"/>
            <color indexed="81"/>
            <rFont val="Tahoma"/>
            <family val="2"/>
          </rPr>
          <t xml:space="preserve">Tripped if the current sense resistor results in a lower current limit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BMC-BCS</author>
  </authors>
  <commentList>
    <comment ref="V6" authorId="0" shapeId="0" xr:uid="{00000000-0006-0000-0200-000001000000}">
      <text>
        <r>
          <rPr>
            <b/>
            <sz val="9"/>
            <color indexed="81"/>
            <rFont val="Tahoma"/>
            <family val="2"/>
          </rPr>
          <t xml:space="preserve">1 = DCM operation
2 = CCM operation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BMC-BCS</author>
  </authors>
  <commentList>
    <comment ref="O18" authorId="0" shapeId="0" xr:uid="{00000000-0006-0000-0300-000001000000}">
      <text>
        <r>
          <rPr>
            <b/>
            <sz val="9"/>
            <color indexed="81"/>
            <rFont val="Tahoma"/>
            <family val="2"/>
          </rPr>
          <t>BMC-BCS:</t>
        </r>
        <r>
          <rPr>
            <sz val="9"/>
            <color indexed="81"/>
            <rFont val="Tahoma"/>
            <family val="2"/>
          </rPr>
          <t xml:space="preserve">
Need to make this log not linear at some point
</t>
        </r>
      </text>
    </comment>
  </commentList>
</comments>
</file>

<file path=xl/sharedStrings.xml><?xml version="1.0" encoding="utf-8"?>
<sst xmlns="http://schemas.openxmlformats.org/spreadsheetml/2006/main" count="987" uniqueCount="582">
  <si>
    <t>TERMS OF USE</t>
  </si>
  <si>
    <t>ABOUT</t>
  </si>
  <si>
    <t>=Input Box</t>
  </si>
  <si>
    <t>Step 1: Design Specifications</t>
  </si>
  <si>
    <r>
      <t>Minimum Input Supply Voltage , V</t>
    </r>
    <r>
      <rPr>
        <vertAlign val="subscript"/>
        <sz val="10"/>
        <color theme="1"/>
        <rFont val="新細明體"/>
        <family val="2"/>
        <scheme val="minor"/>
      </rPr>
      <t>SUPPLY(min)</t>
    </r>
    <r>
      <rPr>
        <sz val="10"/>
        <color theme="1"/>
        <rFont val="新細明體"/>
        <family val="2"/>
        <scheme val="minor"/>
      </rPr>
      <t xml:space="preserve"> </t>
    </r>
  </si>
  <si>
    <r>
      <t>Typical Input Supply Voltage, V</t>
    </r>
    <r>
      <rPr>
        <vertAlign val="subscript"/>
        <sz val="10"/>
        <color theme="1"/>
        <rFont val="新細明體"/>
        <family val="2"/>
        <scheme val="minor"/>
      </rPr>
      <t>SUPPLY(typ)</t>
    </r>
    <r>
      <rPr>
        <sz val="10"/>
        <color theme="1"/>
        <rFont val="新細明體"/>
        <family val="2"/>
        <scheme val="minor"/>
      </rPr>
      <t xml:space="preserve"> </t>
    </r>
  </si>
  <si>
    <r>
      <t>Maximum Input Supply Voltage , V</t>
    </r>
    <r>
      <rPr>
        <vertAlign val="subscript"/>
        <sz val="10"/>
        <color theme="1"/>
        <rFont val="新細明體"/>
        <family val="2"/>
        <scheme val="minor"/>
      </rPr>
      <t>SUPPLY(max)</t>
    </r>
    <r>
      <rPr>
        <sz val="10"/>
        <color theme="1"/>
        <rFont val="新細明體"/>
        <family val="2"/>
        <scheme val="minor"/>
      </rPr>
      <t xml:space="preserve"> </t>
    </r>
  </si>
  <si>
    <r>
      <t>Maximum Output Current , I</t>
    </r>
    <r>
      <rPr>
        <vertAlign val="subscript"/>
        <sz val="10"/>
        <color theme="1"/>
        <rFont val="新細明體"/>
        <family val="2"/>
        <scheme val="minor"/>
      </rPr>
      <t>LOAD</t>
    </r>
    <r>
      <rPr>
        <sz val="10"/>
        <color theme="1"/>
        <rFont val="新細明體"/>
        <family val="2"/>
        <scheme val="minor"/>
      </rPr>
      <t xml:space="preserve"> </t>
    </r>
  </si>
  <si>
    <r>
      <t>Free Running Switching Frequency, F</t>
    </r>
    <r>
      <rPr>
        <vertAlign val="subscript"/>
        <sz val="10"/>
        <color theme="1"/>
        <rFont val="新細明體"/>
        <family val="2"/>
        <scheme val="minor"/>
      </rPr>
      <t>SW</t>
    </r>
  </si>
  <si>
    <t>Estimated Efficiency</t>
  </si>
  <si>
    <t>V</t>
  </si>
  <si>
    <t>A</t>
  </si>
  <si>
    <t>kHz</t>
  </si>
  <si>
    <t>%</t>
  </si>
  <si>
    <r>
      <t>Output Power, P</t>
    </r>
    <r>
      <rPr>
        <vertAlign val="subscript"/>
        <sz val="10"/>
        <color theme="1"/>
        <rFont val="新細明體"/>
        <family val="2"/>
        <scheme val="minor"/>
      </rPr>
      <t>OUT</t>
    </r>
    <r>
      <rPr>
        <sz val="10"/>
        <color theme="1"/>
        <rFont val="新細明體"/>
        <family val="2"/>
        <scheme val="minor"/>
      </rPr>
      <t xml:space="preserve"> </t>
    </r>
  </si>
  <si>
    <t>EXCEL Variables Names/Calculations</t>
  </si>
  <si>
    <t>Input from user =</t>
  </si>
  <si>
    <t>Output =</t>
  </si>
  <si>
    <t>Constant</t>
  </si>
  <si>
    <t>Variable Name</t>
  </si>
  <si>
    <t>Value</t>
  </si>
  <si>
    <t>STD Units</t>
  </si>
  <si>
    <t>Notes</t>
  </si>
  <si>
    <t>Iteration</t>
  </si>
  <si>
    <t>Step 1: Operational Specs</t>
  </si>
  <si>
    <t>VIN_min</t>
  </si>
  <si>
    <t>VIN_nom</t>
  </si>
  <si>
    <t>VIN_max</t>
  </si>
  <si>
    <t>Minimum input voltage</t>
  </si>
  <si>
    <t>Nominal input voltage</t>
  </si>
  <si>
    <t>Maximum input voltage</t>
  </si>
  <si>
    <t>VOUT</t>
  </si>
  <si>
    <t>Target Output Voltage</t>
  </si>
  <si>
    <t>IOUT</t>
  </si>
  <si>
    <t>Maximum Output current</t>
  </si>
  <si>
    <t>ROUT</t>
  </si>
  <si>
    <t>Ω</t>
  </si>
  <si>
    <t>POUT</t>
  </si>
  <si>
    <t>W</t>
  </si>
  <si>
    <t>EFF_est</t>
  </si>
  <si>
    <t>Estimated efficiency</t>
  </si>
  <si>
    <t>Total output power</t>
  </si>
  <si>
    <t>Minimum load resistance</t>
  </si>
  <si>
    <t>Dc_max_ideal</t>
  </si>
  <si>
    <t>Maximum duty cycle at the minimum input voltage</t>
  </si>
  <si>
    <t>Dc_max_IC</t>
  </si>
  <si>
    <t>Maximum IC duty cycle. Based on the forced off time. See Mathcad Calculations</t>
  </si>
  <si>
    <t>D_2p2_min</t>
  </si>
  <si>
    <t>D_2p2_nom</t>
  </si>
  <si>
    <t>D_2p2_max</t>
  </si>
  <si>
    <t>Minimum max duty cycle at 2p2MHZ operation</t>
  </si>
  <si>
    <t>t_off_max</t>
  </si>
  <si>
    <t>T_off_nom</t>
  </si>
  <si>
    <t>T_off_min</t>
  </si>
  <si>
    <t>s</t>
  </si>
  <si>
    <t>Minimum forced off time</t>
  </si>
  <si>
    <t>nominal forced off time</t>
  </si>
  <si>
    <t>Maximum forced off time</t>
  </si>
  <si>
    <t xml:space="preserve">IC Duty Cycle Limitation: </t>
  </si>
  <si>
    <t>D_limit_min</t>
  </si>
  <si>
    <t>D_limit_nom</t>
  </si>
  <si>
    <t>D_limit_max</t>
  </si>
  <si>
    <t>Nomminal max duty cycle at low frequency</t>
  </si>
  <si>
    <t xml:space="preserve">Base Calculations of </t>
  </si>
  <si>
    <t>Spec conditions</t>
  </si>
  <si>
    <t>Min max duty cycle at low frequency</t>
  </si>
  <si>
    <t>Maximum max duty cycle at low frequency</t>
  </si>
  <si>
    <t>Nominal right now</t>
  </si>
  <si>
    <t>Fsw</t>
  </si>
  <si>
    <t>Hz</t>
  </si>
  <si>
    <t xml:space="preserve">Switching frequnecy </t>
  </si>
  <si>
    <t>Flag</t>
  </si>
  <si>
    <t>Forced off time limit? [2 True, 1 False]</t>
  </si>
  <si>
    <t>RT</t>
  </si>
  <si>
    <t>Oscillator Set resistor. Based on the datasheet equation</t>
  </si>
  <si>
    <r>
      <t>Free running Oscillator Set Resistor, R</t>
    </r>
    <r>
      <rPr>
        <vertAlign val="subscript"/>
        <sz val="10"/>
        <color theme="1"/>
        <rFont val="新細明體"/>
        <family val="2"/>
        <scheme val="minor"/>
      </rPr>
      <t>T</t>
    </r>
  </si>
  <si>
    <r>
      <t>k</t>
    </r>
    <r>
      <rPr>
        <sz val="11"/>
        <color theme="1"/>
        <rFont val="Calibri"/>
        <family val="2"/>
      </rPr>
      <t>Ω</t>
    </r>
  </si>
  <si>
    <t>Step 2: Filter Inductor</t>
  </si>
  <si>
    <t>Dc_Limit</t>
  </si>
  <si>
    <t>Max duty cycle of LM5155 at Fsw</t>
  </si>
  <si>
    <t>EXCEL Constants / Values / IC Limits</t>
  </si>
  <si>
    <r>
      <t>Max Inductor DCR, R</t>
    </r>
    <r>
      <rPr>
        <vertAlign val="subscript"/>
        <sz val="10"/>
        <color theme="1"/>
        <rFont val="新細明體"/>
        <family val="2"/>
        <scheme val="minor"/>
      </rPr>
      <t>DCR</t>
    </r>
  </si>
  <si>
    <t>Dc_VIN_min</t>
  </si>
  <si>
    <t>Dc_VIN_nom</t>
  </si>
  <si>
    <t>Dc_VIN_max</t>
  </si>
  <si>
    <t>Duty cycle at the mimum input voltage (CCM)</t>
  </si>
  <si>
    <t>Duty cycle at the nominal input voltage (CCM)</t>
  </si>
  <si>
    <t>Duty cycle at the maximum input voltage (CCM)</t>
  </si>
  <si>
    <t>ton_min</t>
  </si>
  <si>
    <t>Typical Ton minimum value</t>
  </si>
  <si>
    <t>Lcalc_VIN_min</t>
  </si>
  <si>
    <t>Inductor at Minimum input voltage</t>
  </si>
  <si>
    <t>IL_avg_VIN_min</t>
  </si>
  <si>
    <t>IL_avg_VIN_nom</t>
  </si>
  <si>
    <t>IL_avg_VIN_max</t>
  </si>
  <si>
    <t>Average input current at minimum input voltage. 100% Eff assumed</t>
  </si>
  <si>
    <t>Average input current at nominal input voltage. 100% Eff assumed</t>
  </si>
  <si>
    <t>Average input current at maximum input voltage. 100% Eff assumed</t>
  </si>
  <si>
    <t>H</t>
  </si>
  <si>
    <t>ILrip</t>
  </si>
  <si>
    <t>Lopt</t>
  </si>
  <si>
    <t>Optimal inductor. Based off the average</t>
  </si>
  <si>
    <t>Lm</t>
  </si>
  <si>
    <t>Selected filter inductor</t>
  </si>
  <si>
    <t>Rdcr</t>
  </si>
  <si>
    <r>
      <t>m</t>
    </r>
    <r>
      <rPr>
        <sz val="11"/>
        <color theme="1"/>
        <rFont val="Calibri"/>
        <family val="2"/>
      </rPr>
      <t>Ω</t>
    </r>
  </si>
  <si>
    <r>
      <t>Peak inductor current, IL</t>
    </r>
    <r>
      <rPr>
        <vertAlign val="subscript"/>
        <sz val="10"/>
        <color theme="1"/>
        <rFont val="新細明體"/>
        <family val="2"/>
        <scheme val="minor"/>
      </rPr>
      <t>PK</t>
    </r>
  </si>
  <si>
    <t>Strategy 1</t>
  </si>
  <si>
    <t>Strategy 2</t>
  </si>
  <si>
    <t>VIN_33</t>
  </si>
  <si>
    <t>IIN_33</t>
  </si>
  <si>
    <t>Lopt_2</t>
  </si>
  <si>
    <t>.</t>
  </si>
  <si>
    <t>ILp_VINmin</t>
  </si>
  <si>
    <t>Peak inductor current at VIN min. Including estimated efficiency</t>
  </si>
  <si>
    <t>ILrip_VINmin</t>
  </si>
  <si>
    <t xml:space="preserve">Inductor ripple current at VIN min. </t>
  </si>
  <si>
    <t>ILrip_VINnom</t>
  </si>
  <si>
    <t>ILp_VINnom</t>
  </si>
  <si>
    <t>ILrip_VINmax</t>
  </si>
  <si>
    <t>ILp_VINmax</t>
  </si>
  <si>
    <t>Step 3: Current Sense Resistor</t>
  </si>
  <si>
    <t>Selected indutor ripple ratio. Will be changed later to a standard value just to keep things simple</t>
  </si>
  <si>
    <t xml:space="preserve">Inductor ripple current at VIN nom. </t>
  </si>
  <si>
    <t>Peak inductor current at VIN nom. Including estimated efficiency</t>
  </si>
  <si>
    <t xml:space="preserve">Inductor ripple current at VIN max. </t>
  </si>
  <si>
    <t>Peak inductor current at VIN max. Including estimated efficiency</t>
  </si>
  <si>
    <t>Step 3: Current Sense Resistor Selection</t>
  </si>
  <si>
    <t>Ipk_margin</t>
  </si>
  <si>
    <t>Peak current limit margin. 20% is a typical value</t>
  </si>
  <si>
    <t>Ipk_selected</t>
  </si>
  <si>
    <t>Selected peak current limit based on margin selection</t>
  </si>
  <si>
    <t>Peak ripple ratio: Boost this happens at 33%</t>
  </si>
  <si>
    <t>Dc_rip_max</t>
  </si>
  <si>
    <t>This value used to make the selection</t>
  </si>
  <si>
    <t>Input current at maximum ripple duty cycle</t>
  </si>
  <si>
    <t>Input voltage at maximum ripple duty cycle. If maximum input voltage Dc is &gt;.33 this value will be used</t>
  </si>
  <si>
    <t>Filter inductor DCR</t>
  </si>
  <si>
    <t>Ltol</t>
  </si>
  <si>
    <t>Assumed inductor tolerance. Constant to help simplify the user experience</t>
  </si>
  <si>
    <t>Rcs_max</t>
  </si>
  <si>
    <t>Maximum Rcs based on internal slope compensation. Assuming slope ratio of 1/2</t>
  </si>
  <si>
    <t>Rcs_sl_ratio</t>
  </si>
  <si>
    <t>ratio of down slope to slope compensation. This can be updated to give more margin</t>
  </si>
  <si>
    <t>Isl</t>
  </si>
  <si>
    <t>Internal slope compensation ramp</t>
  </si>
  <si>
    <t>Rsl_int</t>
  </si>
  <si>
    <t>Internal Slope compensation resistor</t>
  </si>
  <si>
    <t>Rcs_wo_sl</t>
  </si>
  <si>
    <t>Current sense resistor without slope compensation</t>
  </si>
  <si>
    <t>Vcl</t>
  </si>
  <si>
    <t>Current Limit Value. See datsheet for Parameters</t>
  </si>
  <si>
    <t>Flag_ext_sl</t>
  </si>
  <si>
    <t>External Compensation? (0-no, 1-yes)</t>
  </si>
  <si>
    <t>Rcs_w_sl</t>
  </si>
  <si>
    <t>Rcs_ext_sl_ratio</t>
  </si>
  <si>
    <t>External Slope compensation ratio. Constant</t>
  </si>
  <si>
    <t>R_sl_ext</t>
  </si>
  <si>
    <t>R_cs_calc</t>
  </si>
  <si>
    <t>R_sl_calc</t>
  </si>
  <si>
    <t>R_cs</t>
  </si>
  <si>
    <t>R_sl</t>
  </si>
  <si>
    <t>Current Sense Resistor calculated</t>
  </si>
  <si>
    <t>External slope compensation resistor</t>
  </si>
  <si>
    <t>Calculated external slope compensation resistor</t>
  </si>
  <si>
    <t>Calculated current sense resistor with slope compensation included</t>
  </si>
  <si>
    <r>
      <t>Recommended external slope compensation Resistor (R</t>
    </r>
    <r>
      <rPr>
        <vertAlign val="subscript"/>
        <sz val="11"/>
        <color theme="1"/>
        <rFont val="新細明體"/>
        <family val="2"/>
        <scheme val="minor"/>
      </rPr>
      <t>SL</t>
    </r>
    <r>
      <rPr>
        <sz val="11"/>
        <color theme="1"/>
        <rFont val="新細明體"/>
        <family val="2"/>
        <scheme val="minor"/>
      </rPr>
      <t>)</t>
    </r>
  </si>
  <si>
    <t>Selected current sense Resistor</t>
  </si>
  <si>
    <t>Selected external slope compensation</t>
  </si>
  <si>
    <r>
      <t>Selected external slope compensation Resistor (R</t>
    </r>
    <r>
      <rPr>
        <vertAlign val="subscript"/>
        <sz val="11"/>
        <color theme="1"/>
        <rFont val="新細明體"/>
        <family val="2"/>
        <scheme val="minor"/>
      </rPr>
      <t>SL</t>
    </r>
    <r>
      <rPr>
        <sz val="11"/>
        <color theme="1"/>
        <rFont val="新細明體"/>
        <family val="2"/>
        <scheme val="minor"/>
      </rPr>
      <t>)</t>
    </r>
  </si>
  <si>
    <t>Check to make sure that slope compensation is high enough at the minimum input voltage</t>
  </si>
  <si>
    <t>Slope Compensation</t>
  </si>
  <si>
    <t>sl_vin_min</t>
  </si>
  <si>
    <t>Actual inductor peak current limit</t>
  </si>
  <si>
    <t>IL_pk</t>
  </si>
  <si>
    <t>IL_pk_max</t>
  </si>
  <si>
    <t>Peak current limit at the minimum input voltage</t>
  </si>
  <si>
    <t>Peak inductor current limit for saturation rating.  VIN max due to the possibility of external slope comp</t>
  </si>
  <si>
    <t>sat_mar</t>
  </si>
  <si>
    <t>Margin for saturation current of the inductor</t>
  </si>
  <si>
    <t>V/V</t>
  </si>
  <si>
    <t>IL_sat</t>
  </si>
  <si>
    <t>Recommended Saturation current rating of the selected inductor</t>
  </si>
  <si>
    <t>COMP voltage Limit checks</t>
  </si>
  <si>
    <t>Will add this later. Can be left off for APL</t>
  </si>
  <si>
    <t>Step 4: Output Capacitor Selection</t>
  </si>
  <si>
    <t>mV</t>
  </si>
  <si>
    <t xml:space="preserve">Minimum output capacitance </t>
  </si>
  <si>
    <r>
      <t>Selected Output Capacitance (C</t>
    </r>
    <r>
      <rPr>
        <vertAlign val="subscript"/>
        <sz val="11"/>
        <color theme="1"/>
        <rFont val="新細明體"/>
        <family val="2"/>
        <scheme val="minor"/>
      </rPr>
      <t>OUT</t>
    </r>
    <r>
      <rPr>
        <sz val="11"/>
        <color theme="1"/>
        <rFont val="新細明體"/>
        <family val="2"/>
        <scheme val="minor"/>
      </rPr>
      <t>)</t>
    </r>
  </si>
  <si>
    <t>Desired output ripple</t>
  </si>
  <si>
    <t>Vout_rip_sel</t>
  </si>
  <si>
    <t>Recommend Minimum Inductor Saturation Current Rating</t>
  </si>
  <si>
    <t>Cout_min</t>
  </si>
  <si>
    <t>F</t>
  </si>
  <si>
    <t>Calculate minimum capacitance based simply on the capacitive ripple</t>
  </si>
  <si>
    <r>
      <t>Capacitor RMS current (I</t>
    </r>
    <r>
      <rPr>
        <vertAlign val="subscript"/>
        <sz val="11"/>
        <color theme="1"/>
        <rFont val="新細明體"/>
        <family val="2"/>
        <scheme val="minor"/>
      </rPr>
      <t>RMS_COUT</t>
    </r>
    <r>
      <rPr>
        <sz val="11"/>
        <color theme="1"/>
        <rFont val="新細明體"/>
        <family val="2"/>
        <scheme val="minor"/>
      </rPr>
      <t>)</t>
    </r>
  </si>
  <si>
    <t>IRMS_COUT</t>
  </si>
  <si>
    <t>RMS current of the output capacitor at VIN min IOUT max. RMS current rating should be larger than this.</t>
  </si>
  <si>
    <r>
      <t>Equivalent  COUT ESR (R</t>
    </r>
    <r>
      <rPr>
        <vertAlign val="subscript"/>
        <sz val="11"/>
        <color theme="1"/>
        <rFont val="新細明體"/>
        <family val="2"/>
        <scheme val="minor"/>
      </rPr>
      <t>ESR</t>
    </r>
    <r>
      <rPr>
        <sz val="11"/>
        <color theme="1"/>
        <rFont val="新細明體"/>
        <family val="2"/>
        <scheme val="minor"/>
      </rPr>
      <t>)</t>
    </r>
  </si>
  <si>
    <t>Resr</t>
  </si>
  <si>
    <t>Selected Output Capacitance</t>
  </si>
  <si>
    <t>Selected output capacitance ESR</t>
  </si>
  <si>
    <t>Cout</t>
  </si>
  <si>
    <r>
      <t>Selected Peak Current limit(IL</t>
    </r>
    <r>
      <rPr>
        <vertAlign val="subscript"/>
        <sz val="11"/>
        <color theme="1"/>
        <rFont val="新細明體"/>
        <family val="2"/>
        <scheme val="minor"/>
      </rPr>
      <t>PK_select</t>
    </r>
    <r>
      <rPr>
        <sz val="11"/>
        <color theme="1"/>
        <rFont val="新細明體"/>
        <family val="2"/>
        <scheme val="minor"/>
      </rPr>
      <t>)</t>
    </r>
  </si>
  <si>
    <t>Step 5: Loop Compensation</t>
  </si>
  <si>
    <t>Input Parameters</t>
  </si>
  <si>
    <t>Output Voltage</t>
  </si>
  <si>
    <t>Component Selection</t>
  </si>
  <si>
    <t>LM</t>
  </si>
  <si>
    <t>filter Inductor</t>
  </si>
  <si>
    <t>Current sense resi</t>
  </si>
  <si>
    <t>External Slope Compensation Resistor</t>
  </si>
  <si>
    <t>Interanl Slope Compesnation Resistor</t>
  </si>
  <si>
    <t>Interanl Slope Compesnation current</t>
  </si>
  <si>
    <t>RCOMP</t>
  </si>
  <si>
    <t>kΩ</t>
  </si>
  <si>
    <t>Feedback Resistor Selection</t>
  </si>
  <si>
    <t>pF</t>
  </si>
  <si>
    <t>nF</t>
  </si>
  <si>
    <t>CCOMP</t>
  </si>
  <si>
    <t>CHF</t>
  </si>
  <si>
    <t>Type II compensation Resistort</t>
  </si>
  <si>
    <t>Type II compensation Capacitor</t>
  </si>
  <si>
    <t>Type II high frequency capacitor</t>
  </si>
  <si>
    <t>RFBT</t>
  </si>
  <si>
    <t>RFBB</t>
  </si>
  <si>
    <t>Compensation Components</t>
  </si>
  <si>
    <t>Top feedback resistor</t>
  </si>
  <si>
    <t>Bottom feedback resistor</t>
  </si>
  <si>
    <t>Calculations</t>
  </si>
  <si>
    <t>Frequency</t>
  </si>
  <si>
    <t>Selected VIN</t>
  </si>
  <si>
    <t>VIN_var</t>
  </si>
  <si>
    <t>VIN_VAR</t>
  </si>
  <si>
    <t>Variable input voltage</t>
  </si>
  <si>
    <t>ADC</t>
  </si>
  <si>
    <t>Gcomp</t>
  </si>
  <si>
    <t>Scale down factor of the interal comp voltage divider</t>
  </si>
  <si>
    <t>Intenal step down of the divider</t>
  </si>
  <si>
    <t>DC gain of the plant function</t>
  </si>
  <si>
    <t>Acs</t>
  </si>
  <si>
    <t>Current sense Amplifier Gain (1 for this device)</t>
  </si>
  <si>
    <t>Low Frequency Pole</t>
  </si>
  <si>
    <t>RHPz zero of boost converter</t>
  </si>
  <si>
    <t>ESR zero cause by output capacitance</t>
  </si>
  <si>
    <t>wsl</t>
  </si>
  <si>
    <t>Q</t>
  </si>
  <si>
    <t>Se</t>
  </si>
  <si>
    <t xml:space="preserve">Slope compensation </t>
  </si>
  <si>
    <t>Down slope at the selected input voltage</t>
  </si>
  <si>
    <t>Sn</t>
  </si>
  <si>
    <t>Rad</t>
  </si>
  <si>
    <t>wp_lf</t>
  </si>
  <si>
    <t>wz_rhp</t>
  </si>
  <si>
    <t>wz_esr</t>
  </si>
  <si>
    <t>Gain</t>
  </si>
  <si>
    <t>Phase</t>
  </si>
  <si>
    <t>Sampling</t>
  </si>
  <si>
    <t>Complex</t>
  </si>
  <si>
    <t>Total</t>
  </si>
  <si>
    <t>Plant Transfer Function</t>
  </si>
  <si>
    <t>Error Amplifier</t>
  </si>
  <si>
    <t>Plant Parameters</t>
  </si>
  <si>
    <t>wz_ea</t>
  </si>
  <si>
    <t>Adc_ea</t>
  </si>
  <si>
    <t>gm_ea</t>
  </si>
  <si>
    <t>Error Amplifier Gain</t>
  </si>
  <si>
    <t>A/V</t>
  </si>
  <si>
    <t>wp0_ea</t>
  </si>
  <si>
    <t>wp1_ea</t>
  </si>
  <si>
    <t>ADC_ea</t>
  </si>
  <si>
    <t xml:space="preserve">Gain </t>
  </si>
  <si>
    <t>Open Loop Response</t>
  </si>
  <si>
    <t>COMPLEX</t>
  </si>
  <si>
    <t>Gain of open loop at wp_Lf</t>
  </si>
  <si>
    <t>dB</t>
  </si>
  <si>
    <r>
      <t xml:space="preserve">Variable input voltage to model the loop. </t>
    </r>
    <r>
      <rPr>
        <b/>
        <sz val="11"/>
        <color theme="1"/>
        <rFont val="新細明體"/>
        <family val="2"/>
        <scheme val="minor"/>
      </rPr>
      <t>Currently not used. Will be updated in next rev</t>
    </r>
  </si>
  <si>
    <t>Selected by user. Feedback resistor should be &gt;100uA to help reject noise</t>
  </si>
  <si>
    <t>Error Amplifier Zero</t>
  </si>
  <si>
    <t>Error Amplifier pole at the origin</t>
  </si>
  <si>
    <t>Error Amplifier pole at high frequencies</t>
  </si>
  <si>
    <t>RFBB_CALC</t>
  </si>
  <si>
    <t>Vref</t>
  </si>
  <si>
    <t>Reference voltage</t>
  </si>
  <si>
    <t>Estimated bottom feedback resistor</t>
  </si>
  <si>
    <t>Selected botton feedback resistor</t>
  </si>
  <si>
    <t>Ifb</t>
  </si>
  <si>
    <t>Current Drawn from the feedback resistors (Typically higher than 100uA to help w/ noise)</t>
  </si>
  <si>
    <r>
      <t xml:space="preserve">Plant low frequency pole. </t>
    </r>
    <r>
      <rPr>
        <b/>
        <sz val="11"/>
        <color theme="1"/>
        <rFont val="新細明體"/>
        <family val="2"/>
        <scheme val="minor"/>
      </rPr>
      <t>IN Hz!!!</t>
    </r>
  </si>
  <si>
    <r>
      <t xml:space="preserve">Plant RHP Zero, </t>
    </r>
    <r>
      <rPr>
        <b/>
        <sz val="11"/>
        <color theme="1"/>
        <rFont val="新細明體"/>
        <family val="2"/>
        <scheme val="minor"/>
      </rPr>
      <t>(IN Hz)</t>
    </r>
  </si>
  <si>
    <r>
      <t xml:space="preserve">Plant capacitor ESR zero </t>
    </r>
    <r>
      <rPr>
        <b/>
        <sz val="11"/>
        <color theme="1"/>
        <rFont val="新細明體"/>
        <family val="2"/>
        <scheme val="minor"/>
      </rPr>
      <t>(In Hz)</t>
    </r>
  </si>
  <si>
    <t>Feedback resistor selection</t>
  </si>
  <si>
    <t>Crossover Frequency Selection</t>
  </si>
  <si>
    <t>Fcross_est</t>
  </si>
  <si>
    <r>
      <t>Calculated bottom feedback resistor (R</t>
    </r>
    <r>
      <rPr>
        <vertAlign val="subscript"/>
        <sz val="11"/>
        <color theme="1"/>
        <rFont val="新細明體"/>
        <family val="2"/>
        <scheme val="minor"/>
      </rPr>
      <t>FBB_cala</t>
    </r>
    <r>
      <rPr>
        <sz val="11"/>
        <color theme="1"/>
        <rFont val="新細明體"/>
        <family val="2"/>
        <scheme val="minor"/>
      </rPr>
      <t>)</t>
    </r>
  </si>
  <si>
    <t>fcross</t>
  </si>
  <si>
    <t>Desired Crossover frequency</t>
  </si>
  <si>
    <t>1/10 the swictching frequency</t>
  </si>
  <si>
    <t>Conservative. Set Fcross to be 1/5th the RHP zero frequency or 1/10th SW: whichever is lower</t>
  </si>
  <si>
    <t>Select the lower crossover frequency</t>
  </si>
  <si>
    <t>Gplant_fc</t>
  </si>
  <si>
    <t>Gain of the plant at the desired crossover frequency</t>
  </si>
  <si>
    <t>Fcross</t>
  </si>
  <si>
    <t>wz_RHP</t>
  </si>
  <si>
    <t>Gplant_fc_dB</t>
  </si>
  <si>
    <t>Plant gain at crossover frequency (dB)</t>
  </si>
  <si>
    <t>Gea_mid_calc</t>
  </si>
  <si>
    <t>Error Amplifier Mid-band gain to set cross over frequency correctly</t>
  </si>
  <si>
    <t>Rcomp_Calc</t>
  </si>
  <si>
    <t>Calculate on based on the desired Mid-band gain needed to set the crossover frequency</t>
  </si>
  <si>
    <t>fz_ea_est</t>
  </si>
  <si>
    <t>Set the fz_ea 1/10th the cross over frequency (Common approach)</t>
  </si>
  <si>
    <t>Set the fz_ea geometerically inbetween crossover and the wp_lf</t>
  </si>
  <si>
    <t>Fz_ea_1</t>
  </si>
  <si>
    <t>Fz_ea_2</t>
  </si>
  <si>
    <t>CCOMP_calc</t>
  </si>
  <si>
    <t>CHF_Calc</t>
  </si>
  <si>
    <t>fp_ea_est</t>
  </si>
  <si>
    <r>
      <t>Select a top feedback resistor(R</t>
    </r>
    <r>
      <rPr>
        <vertAlign val="subscript"/>
        <sz val="11"/>
        <color theme="1"/>
        <rFont val="新細明體"/>
        <family val="2"/>
        <scheme val="minor"/>
      </rPr>
      <t>FBT</t>
    </r>
    <r>
      <rPr>
        <sz val="11"/>
        <color theme="1"/>
        <rFont val="新細明體"/>
        <family val="2"/>
        <scheme val="minor"/>
      </rPr>
      <t>)</t>
    </r>
  </si>
  <si>
    <t>Step 5: Soft-Start Capacitor Selection</t>
  </si>
  <si>
    <t>Step 6: UVLO Resistor Divider Selection</t>
  </si>
  <si>
    <t>Efficiency / Power Loss Analyzer</t>
  </si>
  <si>
    <r>
      <t>R</t>
    </r>
    <r>
      <rPr>
        <vertAlign val="subscript"/>
        <sz val="11"/>
        <color theme="1"/>
        <rFont val="新細明體"/>
        <family val="2"/>
        <scheme val="minor"/>
      </rPr>
      <t>COMP</t>
    </r>
  </si>
  <si>
    <t>Calculated</t>
  </si>
  <si>
    <t>Selected</t>
  </si>
  <si>
    <t>Steps</t>
  </si>
  <si>
    <t>Step size</t>
  </si>
  <si>
    <t>VIN</t>
  </si>
  <si>
    <t>DCM/CCM</t>
  </si>
  <si>
    <t>DC</t>
  </si>
  <si>
    <t>IIN</t>
  </si>
  <si>
    <t>Icrms_min</t>
  </si>
  <si>
    <t>Minimum required RMS current rating for the output capacitor bank</t>
  </si>
  <si>
    <t>On-time of the switch</t>
  </si>
  <si>
    <t>Soft-Start</t>
  </si>
  <si>
    <t>Iss</t>
  </si>
  <si>
    <t>Soft-start capacitor charge current</t>
  </si>
  <si>
    <t>Soft-Start Charge current</t>
  </si>
  <si>
    <t>Css_min</t>
  </si>
  <si>
    <t>Suggested minimum SS capacitor to minize the over shoot.</t>
  </si>
  <si>
    <t>tss</t>
  </si>
  <si>
    <t>Desired Soft-Start Capacitor</t>
  </si>
  <si>
    <r>
      <t>Suggested minimum soft-start capacitor (C</t>
    </r>
    <r>
      <rPr>
        <vertAlign val="subscript"/>
        <sz val="11"/>
        <color theme="1"/>
        <rFont val="新細明體"/>
        <family val="2"/>
        <scheme val="minor"/>
      </rPr>
      <t>SS_MIN</t>
    </r>
    <r>
      <rPr>
        <sz val="11"/>
        <color theme="1"/>
        <rFont val="新細明體"/>
        <family val="2"/>
        <scheme val="minor"/>
      </rPr>
      <t>)</t>
    </r>
  </si>
  <si>
    <t>ms</t>
  </si>
  <si>
    <t>Css_calc</t>
  </si>
  <si>
    <t>Calcualted Soft-start capacitor</t>
  </si>
  <si>
    <r>
      <t>Calculated soft-start capacitor (C</t>
    </r>
    <r>
      <rPr>
        <vertAlign val="subscript"/>
        <sz val="11"/>
        <color theme="1"/>
        <rFont val="新細明體"/>
        <family val="2"/>
        <scheme val="minor"/>
      </rPr>
      <t>SS</t>
    </r>
    <r>
      <rPr>
        <sz val="11"/>
        <color theme="1"/>
        <rFont val="新細明體"/>
        <family val="2"/>
        <scheme val="minor"/>
      </rPr>
      <t>)</t>
    </r>
  </si>
  <si>
    <r>
      <t>Desired voltage OFF (V</t>
    </r>
    <r>
      <rPr>
        <vertAlign val="subscript"/>
        <sz val="11"/>
        <color theme="1"/>
        <rFont val="新細明體"/>
        <family val="2"/>
        <scheme val="minor"/>
      </rPr>
      <t>UVLO_OFF</t>
    </r>
    <r>
      <rPr>
        <sz val="11"/>
        <color theme="1"/>
        <rFont val="新細明體"/>
        <family val="2"/>
        <scheme val="minor"/>
      </rPr>
      <t>)</t>
    </r>
  </si>
  <si>
    <r>
      <t>Desired voltage On (V</t>
    </r>
    <r>
      <rPr>
        <vertAlign val="subscript"/>
        <sz val="11"/>
        <color theme="1"/>
        <rFont val="新細明體"/>
        <family val="2"/>
        <scheme val="minor"/>
      </rPr>
      <t>UVLO_ON</t>
    </r>
    <r>
      <rPr>
        <sz val="11"/>
        <color theme="1"/>
        <rFont val="新細明體"/>
        <family val="2"/>
        <scheme val="minor"/>
      </rPr>
      <t>)</t>
    </r>
  </si>
  <si>
    <t>Step 6: UVLO Resistor Selection</t>
  </si>
  <si>
    <t>Step 5: Soft-start Capacitor selection</t>
  </si>
  <si>
    <t>Vuvlo_on</t>
  </si>
  <si>
    <t>Vuvlo_off</t>
  </si>
  <si>
    <t>Desired turn on voltage</t>
  </si>
  <si>
    <t>Desired turn off voltage</t>
  </si>
  <si>
    <t>UVLO Thresholds</t>
  </si>
  <si>
    <t>UV_rise</t>
  </si>
  <si>
    <t>UV_fall</t>
  </si>
  <si>
    <t>Falling threshold (See datasheet for more details)</t>
  </si>
  <si>
    <t>Rising Threshold (See datasheet for more details)</t>
  </si>
  <si>
    <t>Rising UV threshold</t>
  </si>
  <si>
    <t>Falling  UV threshold</t>
  </si>
  <si>
    <t>UV_I_hyst</t>
  </si>
  <si>
    <t>UVLO current hysteresis</t>
  </si>
  <si>
    <t>UVLO circuit current hysteresis</t>
  </si>
  <si>
    <t>Ruvlo_top_calc</t>
  </si>
  <si>
    <t>Ruvlo_bottom_calc</t>
  </si>
  <si>
    <t>Vuvlo_on_act</t>
  </si>
  <si>
    <t>Vuvlo_off_act</t>
  </si>
  <si>
    <t>Actual turn on voltage</t>
  </si>
  <si>
    <t>Actual turn off voltage</t>
  </si>
  <si>
    <t>Step  7: Loop Compensation</t>
  </si>
  <si>
    <t>Operation Variables</t>
  </si>
  <si>
    <t>Duty Cycle</t>
  </si>
  <si>
    <t>dIL</t>
  </si>
  <si>
    <r>
      <t>IL</t>
    </r>
    <r>
      <rPr>
        <vertAlign val="subscript"/>
        <sz val="11"/>
        <color theme="1"/>
        <rFont val="新細明體"/>
        <family val="2"/>
        <scheme val="minor"/>
      </rPr>
      <t>RMS</t>
    </r>
  </si>
  <si>
    <r>
      <t>IL</t>
    </r>
    <r>
      <rPr>
        <vertAlign val="subscript"/>
        <sz val="11"/>
        <color theme="1"/>
        <rFont val="新細明體"/>
        <family val="2"/>
        <scheme val="minor"/>
      </rPr>
      <t>PEAK</t>
    </r>
  </si>
  <si>
    <t>DC_off</t>
  </si>
  <si>
    <r>
      <t>ID</t>
    </r>
    <r>
      <rPr>
        <vertAlign val="subscript"/>
        <sz val="11"/>
        <color theme="1"/>
        <rFont val="新細明體"/>
        <family val="2"/>
        <scheme val="minor"/>
      </rPr>
      <t>RMS</t>
    </r>
  </si>
  <si>
    <t>Step 7: Component Selection</t>
  </si>
  <si>
    <t>Vd_rect</t>
  </si>
  <si>
    <t>Rect Diode forward voltage drop</t>
  </si>
  <si>
    <r>
      <t>ID</t>
    </r>
    <r>
      <rPr>
        <vertAlign val="subscript"/>
        <sz val="11"/>
        <color theme="1"/>
        <rFont val="新細明體"/>
        <family val="2"/>
        <scheme val="minor"/>
      </rPr>
      <t xml:space="preserve">AVG </t>
    </r>
    <r>
      <rPr>
        <sz val="11"/>
        <color theme="1"/>
        <rFont val="新細明體"/>
        <family val="2"/>
        <scheme val="minor"/>
      </rPr>
      <t>(A)</t>
    </r>
  </si>
  <si>
    <r>
      <t>P</t>
    </r>
    <r>
      <rPr>
        <vertAlign val="subscript"/>
        <sz val="11"/>
        <color theme="1"/>
        <rFont val="新細明體"/>
        <family val="2"/>
        <scheme val="minor"/>
      </rPr>
      <t>Lac</t>
    </r>
    <r>
      <rPr>
        <sz val="11"/>
        <color theme="1"/>
        <rFont val="新細明體"/>
        <family val="2"/>
        <scheme val="minor"/>
      </rPr>
      <t xml:space="preserve"> (W)</t>
    </r>
  </si>
  <si>
    <r>
      <t>P</t>
    </r>
    <r>
      <rPr>
        <vertAlign val="subscript"/>
        <sz val="11"/>
        <color theme="1"/>
        <rFont val="新細明體"/>
        <family val="2"/>
        <scheme val="minor"/>
      </rPr>
      <t>L_DCR</t>
    </r>
    <r>
      <rPr>
        <sz val="11"/>
        <color theme="1"/>
        <rFont val="新細明體"/>
        <family val="2"/>
        <scheme val="minor"/>
      </rPr>
      <t xml:space="preserve"> (W)</t>
    </r>
  </si>
  <si>
    <r>
      <t>P</t>
    </r>
    <r>
      <rPr>
        <vertAlign val="subscript"/>
        <sz val="11"/>
        <color theme="1"/>
        <rFont val="新細明體"/>
        <family val="2"/>
        <scheme val="minor"/>
      </rPr>
      <t xml:space="preserve">D_COND </t>
    </r>
    <r>
      <rPr>
        <sz val="11"/>
        <color theme="1"/>
        <rFont val="新細明體"/>
        <family val="2"/>
        <scheme val="minor"/>
      </rPr>
      <t>(W)</t>
    </r>
  </si>
  <si>
    <r>
      <t>P</t>
    </r>
    <r>
      <rPr>
        <vertAlign val="subscript"/>
        <sz val="11"/>
        <color theme="1"/>
        <rFont val="新細明體"/>
        <family val="2"/>
        <scheme val="minor"/>
      </rPr>
      <t xml:space="preserve">D_SW </t>
    </r>
    <r>
      <rPr>
        <sz val="11"/>
        <color theme="1"/>
        <rFont val="新細明體"/>
        <family val="2"/>
        <scheme val="minor"/>
      </rPr>
      <t>(W)</t>
    </r>
  </si>
  <si>
    <r>
      <t>On-State Resistance, R</t>
    </r>
    <r>
      <rPr>
        <vertAlign val="subscript"/>
        <sz val="10"/>
        <rFont val="Arial"/>
        <family val="2"/>
      </rPr>
      <t>DS(on)</t>
    </r>
    <r>
      <rPr>
        <sz val="10"/>
        <rFont val="Arial"/>
        <family val="2"/>
      </rPr>
      <t xml:space="preserve"> </t>
    </r>
  </si>
  <si>
    <r>
      <t>Total Gate Charge, Q</t>
    </r>
    <r>
      <rPr>
        <vertAlign val="subscript"/>
        <sz val="10"/>
        <rFont val="Arial"/>
        <family val="2"/>
      </rPr>
      <t>G</t>
    </r>
    <r>
      <rPr>
        <sz val="10"/>
        <rFont val="Arial"/>
        <family val="2"/>
      </rPr>
      <t xml:space="preserve"> </t>
    </r>
  </si>
  <si>
    <r>
      <t>Gate-Drain Charge, Q</t>
    </r>
    <r>
      <rPr>
        <vertAlign val="subscript"/>
        <sz val="10"/>
        <rFont val="Arial"/>
        <family val="2"/>
      </rPr>
      <t>GD</t>
    </r>
    <r>
      <rPr>
        <sz val="10"/>
        <rFont val="Arial"/>
        <family val="2"/>
      </rPr>
      <t xml:space="preserve"> </t>
    </r>
  </si>
  <si>
    <r>
      <t>Gate-Source Charge, Q</t>
    </r>
    <r>
      <rPr>
        <vertAlign val="subscript"/>
        <sz val="10"/>
        <rFont val="Arial"/>
        <family val="2"/>
      </rPr>
      <t>GS</t>
    </r>
    <r>
      <rPr>
        <sz val="10"/>
        <rFont val="Arial"/>
        <family val="2"/>
      </rPr>
      <t xml:space="preserve"> </t>
    </r>
  </si>
  <si>
    <r>
      <t>Gate Resistance, R</t>
    </r>
    <r>
      <rPr>
        <vertAlign val="subscript"/>
        <sz val="10"/>
        <rFont val="Arial"/>
        <family val="2"/>
      </rPr>
      <t>G</t>
    </r>
    <r>
      <rPr>
        <sz val="10"/>
        <rFont val="Arial"/>
        <family val="2"/>
      </rPr>
      <t xml:space="preserve"> </t>
    </r>
  </si>
  <si>
    <r>
      <t>Transconductance, g</t>
    </r>
    <r>
      <rPr>
        <vertAlign val="subscript"/>
        <sz val="10"/>
        <rFont val="Arial"/>
        <family val="2"/>
      </rPr>
      <t>FS</t>
    </r>
    <r>
      <rPr>
        <sz val="10"/>
        <rFont val="Arial"/>
        <family val="2"/>
      </rPr>
      <t xml:space="preserve"> </t>
    </r>
  </si>
  <si>
    <r>
      <t>Gate-Source Threshold Voltage, V</t>
    </r>
    <r>
      <rPr>
        <vertAlign val="subscript"/>
        <sz val="10"/>
        <rFont val="Arial"/>
        <family val="2"/>
      </rPr>
      <t>TH</t>
    </r>
    <r>
      <rPr>
        <sz val="10"/>
        <rFont val="Arial"/>
        <family val="2"/>
      </rPr>
      <t xml:space="preserve"> </t>
    </r>
  </si>
  <si>
    <t>mΩ</t>
  </si>
  <si>
    <t>nC</t>
  </si>
  <si>
    <t>Ω</t>
  </si>
  <si>
    <t>S</t>
  </si>
  <si>
    <t>Diode Parameters</t>
  </si>
  <si>
    <t>MOSFET parameters</t>
  </si>
  <si>
    <r>
      <t>Forward Voltage Drop (V</t>
    </r>
    <r>
      <rPr>
        <vertAlign val="subscript"/>
        <sz val="11"/>
        <color theme="1"/>
        <rFont val="新細明體"/>
        <family val="2"/>
        <scheme val="minor"/>
      </rPr>
      <t>D</t>
    </r>
    <r>
      <rPr>
        <sz val="11"/>
        <color theme="1"/>
        <rFont val="新細明體"/>
        <family val="2"/>
        <scheme val="minor"/>
      </rPr>
      <t>)</t>
    </r>
  </si>
  <si>
    <t>MOSFET Parameters</t>
  </si>
  <si>
    <t>Qg_tot</t>
  </si>
  <si>
    <t>Qgs</t>
  </si>
  <si>
    <t>Qgd</t>
  </si>
  <si>
    <t>Rgate</t>
  </si>
  <si>
    <t>gfs</t>
  </si>
  <si>
    <t>Vth</t>
  </si>
  <si>
    <t>Reverse recovery charge of Schottky  Diode (QRR)</t>
  </si>
  <si>
    <t>C</t>
  </si>
  <si>
    <t>Shottky Reverse recovery charge</t>
  </si>
  <si>
    <t>Qrr</t>
  </si>
  <si>
    <t>RDS_on</t>
  </si>
  <si>
    <t>Rgate_int</t>
  </si>
  <si>
    <t>Internal Gate resistance of the MOSFET driver.</t>
  </si>
  <si>
    <t>Vsp</t>
  </si>
  <si>
    <t>Gate voltage when MOSFET begins conducting current</t>
  </si>
  <si>
    <t>Rise time of the switch node</t>
  </si>
  <si>
    <t>Fall time of the switch node</t>
  </si>
  <si>
    <t>VCC</t>
  </si>
  <si>
    <t>VCC regulator</t>
  </si>
  <si>
    <t>Vcc</t>
  </si>
  <si>
    <t>Regulated output voltage of internal LDO. Can change if this is externally biased.</t>
  </si>
  <si>
    <t>Need to double check this value</t>
  </si>
  <si>
    <t xml:space="preserve">VCC voltage. Can be changed with external bias. </t>
  </si>
  <si>
    <t>tr_sw</t>
  </si>
  <si>
    <t>tf_sw</t>
  </si>
  <si>
    <r>
      <t>ISW</t>
    </r>
    <r>
      <rPr>
        <vertAlign val="subscript"/>
        <sz val="11"/>
        <color theme="1"/>
        <rFont val="新細明體"/>
        <family val="2"/>
        <scheme val="minor"/>
      </rPr>
      <t xml:space="preserve">AVG </t>
    </r>
    <r>
      <rPr>
        <sz val="11"/>
        <color theme="1"/>
        <rFont val="新細明體"/>
        <family val="2"/>
        <scheme val="minor"/>
      </rPr>
      <t>(A)</t>
    </r>
  </si>
  <si>
    <r>
      <t>ISW</t>
    </r>
    <r>
      <rPr>
        <vertAlign val="subscript"/>
        <sz val="11"/>
        <color theme="1"/>
        <rFont val="新細明體"/>
        <family val="2"/>
        <scheme val="minor"/>
      </rPr>
      <t>RMS</t>
    </r>
  </si>
  <si>
    <r>
      <t>P</t>
    </r>
    <r>
      <rPr>
        <vertAlign val="subscript"/>
        <sz val="11"/>
        <color theme="1"/>
        <rFont val="新細明體"/>
        <family val="2"/>
        <scheme val="minor"/>
      </rPr>
      <t xml:space="preserve">Q_SW </t>
    </r>
    <r>
      <rPr>
        <sz val="11"/>
        <color theme="1"/>
        <rFont val="新細明體"/>
        <family val="2"/>
        <scheme val="minor"/>
      </rPr>
      <t>(W)</t>
    </r>
  </si>
  <si>
    <r>
      <t>P</t>
    </r>
    <r>
      <rPr>
        <vertAlign val="subscript"/>
        <sz val="11"/>
        <color theme="1"/>
        <rFont val="新細明體"/>
        <family val="2"/>
        <scheme val="minor"/>
      </rPr>
      <t xml:space="preserve">Q_COND </t>
    </r>
    <r>
      <rPr>
        <sz val="11"/>
        <color theme="1"/>
        <rFont val="新細明體"/>
        <family val="2"/>
        <scheme val="minor"/>
      </rPr>
      <t>(W)</t>
    </r>
  </si>
  <si>
    <r>
      <t>P</t>
    </r>
    <r>
      <rPr>
        <vertAlign val="subscript"/>
        <sz val="11"/>
        <color theme="1"/>
        <rFont val="新細明體"/>
        <family val="2"/>
        <scheme val="minor"/>
      </rPr>
      <t xml:space="preserve">Q_tot </t>
    </r>
    <r>
      <rPr>
        <sz val="11"/>
        <color theme="1"/>
        <rFont val="新細明體"/>
        <family val="2"/>
        <scheme val="minor"/>
      </rPr>
      <t>(W)</t>
    </r>
  </si>
  <si>
    <r>
      <t>P</t>
    </r>
    <r>
      <rPr>
        <vertAlign val="subscript"/>
        <sz val="11"/>
        <color theme="1"/>
        <rFont val="新細明體"/>
        <family val="2"/>
        <scheme val="minor"/>
      </rPr>
      <t xml:space="preserve">D_tot </t>
    </r>
    <r>
      <rPr>
        <sz val="11"/>
        <color theme="1"/>
        <rFont val="新細明體"/>
        <family val="2"/>
        <scheme val="minor"/>
      </rPr>
      <t>(W)</t>
    </r>
  </si>
  <si>
    <r>
      <t>P</t>
    </r>
    <r>
      <rPr>
        <vertAlign val="subscript"/>
        <sz val="11"/>
        <color theme="1"/>
        <rFont val="新細明體"/>
        <family val="2"/>
        <scheme val="minor"/>
      </rPr>
      <t>L_tot</t>
    </r>
    <r>
      <rPr>
        <sz val="11"/>
        <color theme="1"/>
        <rFont val="新細明體"/>
        <family val="2"/>
        <scheme val="minor"/>
      </rPr>
      <t xml:space="preserve"> (W)</t>
    </r>
  </si>
  <si>
    <r>
      <t>P</t>
    </r>
    <r>
      <rPr>
        <vertAlign val="subscript"/>
        <sz val="11"/>
        <color theme="1"/>
        <rFont val="新細明體"/>
        <family val="2"/>
        <scheme val="minor"/>
      </rPr>
      <t>RCS</t>
    </r>
    <r>
      <rPr>
        <sz val="11"/>
        <color theme="1"/>
        <rFont val="新細明體"/>
        <family val="2"/>
        <scheme val="minor"/>
      </rPr>
      <t xml:space="preserve"> (W)</t>
    </r>
  </si>
  <si>
    <t>Total Losses</t>
  </si>
  <si>
    <r>
      <t>P</t>
    </r>
    <r>
      <rPr>
        <vertAlign val="subscript"/>
        <sz val="11"/>
        <color theme="1"/>
        <rFont val="新細明體"/>
        <family val="2"/>
        <scheme val="minor"/>
      </rPr>
      <t>TOTAL</t>
    </r>
    <r>
      <rPr>
        <sz val="11"/>
        <color theme="1"/>
        <rFont val="新細明體"/>
        <family val="2"/>
        <scheme val="minor"/>
      </rPr>
      <t xml:space="preserve"> (W)</t>
    </r>
  </si>
  <si>
    <r>
      <t>P</t>
    </r>
    <r>
      <rPr>
        <vertAlign val="subscript"/>
        <sz val="11"/>
        <color theme="1"/>
        <rFont val="新細明體"/>
        <family val="2"/>
        <scheme val="minor"/>
      </rPr>
      <t>G_drv</t>
    </r>
    <r>
      <rPr>
        <sz val="11"/>
        <color theme="1"/>
        <rFont val="新細明體"/>
        <family val="2"/>
        <scheme val="minor"/>
      </rPr>
      <t xml:space="preserve"> (W)</t>
    </r>
  </si>
  <si>
    <r>
      <t>P</t>
    </r>
    <r>
      <rPr>
        <vertAlign val="subscript"/>
        <sz val="11"/>
        <color theme="1"/>
        <rFont val="新細明體"/>
        <family val="2"/>
        <scheme val="minor"/>
      </rPr>
      <t>IQ</t>
    </r>
    <r>
      <rPr>
        <sz val="11"/>
        <color theme="1"/>
        <rFont val="新細明體"/>
        <family val="2"/>
        <scheme val="minor"/>
      </rPr>
      <t xml:space="preserve"> (W)</t>
    </r>
  </si>
  <si>
    <t>IQ current</t>
  </si>
  <si>
    <t xml:space="preserve">IQ </t>
  </si>
  <si>
    <t>Non-switching IQ current</t>
  </si>
  <si>
    <t>Other Losses</t>
  </si>
  <si>
    <t>Eff</t>
  </si>
  <si>
    <r>
      <t>P</t>
    </r>
    <r>
      <rPr>
        <vertAlign val="subscript"/>
        <sz val="11"/>
        <color theme="1"/>
        <rFont val="新細明體"/>
        <family val="2"/>
        <scheme val="minor"/>
      </rPr>
      <t>OUT</t>
    </r>
    <r>
      <rPr>
        <sz val="11"/>
        <color theme="1"/>
        <rFont val="新細明體"/>
        <family val="2"/>
        <scheme val="minor"/>
      </rPr>
      <t xml:space="preserve"> (W)</t>
    </r>
  </si>
  <si>
    <t>MOSFET</t>
  </si>
  <si>
    <t>Inductor</t>
  </si>
  <si>
    <t>Diode</t>
  </si>
  <si>
    <r>
      <t>C</t>
    </r>
    <r>
      <rPr>
        <vertAlign val="subscript"/>
        <sz val="11"/>
        <color theme="1"/>
        <rFont val="新細明體"/>
        <family val="2"/>
        <scheme val="minor"/>
      </rPr>
      <t>COMP</t>
    </r>
  </si>
  <si>
    <r>
      <t>C</t>
    </r>
    <r>
      <rPr>
        <vertAlign val="subscript"/>
        <sz val="11"/>
        <color theme="1"/>
        <rFont val="新細明體"/>
        <family val="2"/>
        <scheme val="minor"/>
      </rPr>
      <t>HF</t>
    </r>
  </si>
  <si>
    <t>IOUT_VAR</t>
  </si>
  <si>
    <t>Variable output current (Need to add this in</t>
  </si>
  <si>
    <t>RHP_zero location based on the minimum input voltage</t>
  </si>
  <si>
    <t>Low frequency pole based on the minimum input voltage</t>
  </si>
  <si>
    <t>rad</t>
  </si>
  <si>
    <t>raf</t>
  </si>
  <si>
    <t>ESR zero based on the minimum input voltage</t>
  </si>
  <si>
    <t>This is based on the minimum input voltage. T</t>
  </si>
  <si>
    <t>Input Voltage</t>
  </si>
  <si>
    <r>
      <t>Recommended Inductance (L</t>
    </r>
    <r>
      <rPr>
        <vertAlign val="subscript"/>
        <sz val="10"/>
        <color theme="1"/>
        <rFont val="新細明體"/>
        <family val="2"/>
        <scheme val="minor"/>
      </rPr>
      <t>M_CALC</t>
    </r>
    <r>
      <rPr>
        <sz val="10"/>
        <color theme="1"/>
        <rFont val="新細明體"/>
        <family val="2"/>
        <scheme val="minor"/>
      </rPr>
      <t>)</t>
    </r>
  </si>
  <si>
    <r>
      <t>User Selection. Inductance, (L</t>
    </r>
    <r>
      <rPr>
        <vertAlign val="subscript"/>
        <sz val="10"/>
        <color theme="1"/>
        <rFont val="新細明體"/>
        <family val="2"/>
        <scheme val="minor"/>
      </rPr>
      <t>M</t>
    </r>
    <r>
      <rPr>
        <sz val="10"/>
        <color theme="1"/>
        <rFont val="新細明體"/>
        <family val="2"/>
        <scheme val="minor"/>
      </rPr>
      <t>)</t>
    </r>
  </si>
  <si>
    <t>Id_AVG</t>
  </si>
  <si>
    <t xml:space="preserve">Suggested average current rating of diode. </t>
  </si>
  <si>
    <r>
      <t>Calculated top UVLO resistor value (R</t>
    </r>
    <r>
      <rPr>
        <vertAlign val="subscript"/>
        <sz val="11"/>
        <color theme="1"/>
        <rFont val="新細明體"/>
        <family val="2"/>
        <scheme val="minor"/>
      </rPr>
      <t>UVT_CALC</t>
    </r>
    <r>
      <rPr>
        <sz val="11"/>
        <color theme="1"/>
        <rFont val="新細明體"/>
        <family val="2"/>
        <scheme val="minor"/>
      </rPr>
      <t>)</t>
    </r>
  </si>
  <si>
    <r>
      <t>Selected top UVLO resistor value (R</t>
    </r>
    <r>
      <rPr>
        <vertAlign val="subscript"/>
        <sz val="11"/>
        <color theme="1"/>
        <rFont val="新細明體"/>
        <family val="2"/>
        <scheme val="minor"/>
      </rPr>
      <t>UVT</t>
    </r>
    <r>
      <rPr>
        <sz val="11"/>
        <color theme="1"/>
        <rFont val="新細明體"/>
        <family val="2"/>
        <scheme val="minor"/>
      </rPr>
      <t>)</t>
    </r>
  </si>
  <si>
    <r>
      <t>Bottom UVLO Resistor (R</t>
    </r>
    <r>
      <rPr>
        <vertAlign val="subscript"/>
        <sz val="11"/>
        <color theme="1"/>
        <rFont val="新細明體"/>
        <family val="2"/>
        <scheme val="minor"/>
      </rPr>
      <t>UVB</t>
    </r>
    <r>
      <rPr>
        <sz val="11"/>
        <color theme="1"/>
        <rFont val="新細明體"/>
        <family val="2"/>
        <scheme val="minor"/>
      </rPr>
      <t>)</t>
    </r>
  </si>
  <si>
    <t>Calcualted top UVLO resistor</t>
  </si>
  <si>
    <t>Selected top UVLO resistor</t>
  </si>
  <si>
    <t>Calcualted Bottom UBLO Resistor</t>
  </si>
  <si>
    <t>Frcoss (VIN)min</t>
  </si>
  <si>
    <t>ADC_VINmin</t>
  </si>
  <si>
    <t>wp_lf_VINmin</t>
  </si>
  <si>
    <t>fp_lf_VINmin</t>
  </si>
  <si>
    <t>wz_esr_VINmin</t>
  </si>
  <si>
    <t>fz_esr_VINmin</t>
  </si>
  <si>
    <t>wz_RHP_VINmin</t>
  </si>
  <si>
    <t>fz_rhp_VINmin</t>
  </si>
  <si>
    <t>Se_VINmin</t>
  </si>
  <si>
    <t>Sn_VINmin</t>
  </si>
  <si>
    <t>wsl_VINmin</t>
  </si>
  <si>
    <t>Q_VINmin</t>
  </si>
  <si>
    <t>Operation Raange</t>
  </si>
  <si>
    <t>Vin_op_min</t>
  </si>
  <si>
    <t>Minimum operating voltage</t>
  </si>
  <si>
    <t>Maximum BIAS pin operating voltage</t>
  </si>
  <si>
    <t>Vin_op_max</t>
  </si>
  <si>
    <r>
      <t>Boost Converter Duty Cycle Limit by LM5155 at V</t>
    </r>
    <r>
      <rPr>
        <vertAlign val="subscript"/>
        <sz val="10"/>
        <color theme="1"/>
        <rFont val="新細明體"/>
        <family val="2"/>
        <scheme val="minor"/>
      </rPr>
      <t>SUPPLY(MIN)</t>
    </r>
  </si>
  <si>
    <r>
      <t>Desired Maximum Inductor Current Ripple Ratio (I</t>
    </r>
    <r>
      <rPr>
        <vertAlign val="subscript"/>
        <sz val="10"/>
        <color theme="1"/>
        <rFont val="新細明體"/>
        <family val="2"/>
        <scheme val="minor"/>
      </rPr>
      <t>RR_MAX</t>
    </r>
    <r>
      <rPr>
        <sz val="10"/>
        <color theme="1"/>
        <rFont val="新細明體"/>
        <family val="2"/>
        <scheme val="minor"/>
      </rPr>
      <t>)</t>
    </r>
  </si>
  <si>
    <t>Peak Current Limit Margin</t>
  </si>
  <si>
    <r>
      <t>Voltage selected (V</t>
    </r>
    <r>
      <rPr>
        <vertAlign val="subscript"/>
        <sz val="11"/>
        <rFont val="新細明體"/>
        <family val="2"/>
        <scheme val="minor"/>
      </rPr>
      <t>IN_VAR</t>
    </r>
    <r>
      <rPr>
        <sz val="11"/>
        <rFont val="新細明體"/>
        <family val="2"/>
        <scheme val="minor"/>
      </rPr>
      <t>)</t>
    </r>
  </si>
  <si>
    <t>This should be set at or near the lowest RHP zero Frequency</t>
  </si>
  <si>
    <t>Set between 1/2 fsw and the RHPz in the application note. This is aggressive</t>
  </si>
  <si>
    <r>
      <t>Recommended minimum average current rating (I</t>
    </r>
    <r>
      <rPr>
        <vertAlign val="subscript"/>
        <sz val="11"/>
        <color theme="1"/>
        <rFont val="新細明體"/>
        <family val="2"/>
        <scheme val="minor"/>
      </rPr>
      <t>D_AVG</t>
    </r>
    <r>
      <rPr>
        <sz val="11"/>
        <color theme="1"/>
        <rFont val="新細明體"/>
        <family val="2"/>
        <scheme val="minor"/>
      </rPr>
      <t>)</t>
    </r>
  </si>
  <si>
    <r>
      <t>Recommended current sense Resistor (R</t>
    </r>
    <r>
      <rPr>
        <vertAlign val="subscript"/>
        <sz val="11"/>
        <color theme="1"/>
        <rFont val="新細明體"/>
        <family val="2"/>
        <scheme val="minor"/>
      </rPr>
      <t>S</t>
    </r>
    <r>
      <rPr>
        <sz val="11"/>
        <color theme="1"/>
        <rFont val="新細明體"/>
        <family val="2"/>
        <scheme val="minor"/>
      </rPr>
      <t>)</t>
    </r>
  </si>
  <si>
    <r>
      <t>Selected current sense Resistor (R</t>
    </r>
    <r>
      <rPr>
        <vertAlign val="subscript"/>
        <sz val="11"/>
        <color theme="1"/>
        <rFont val="新細明體"/>
        <family val="2"/>
        <scheme val="minor"/>
      </rPr>
      <t>S</t>
    </r>
    <r>
      <rPr>
        <sz val="11"/>
        <color theme="1"/>
        <rFont val="新細明體"/>
        <family val="2"/>
        <scheme val="minor"/>
      </rPr>
      <t>)</t>
    </r>
  </si>
  <si>
    <t>CCM</t>
  </si>
  <si>
    <t>DCM</t>
  </si>
  <si>
    <t>Dc_DCM_max_ideal</t>
  </si>
  <si>
    <t>Duty cycle at the mimum input voltage (DCM)</t>
  </si>
  <si>
    <t>Duty cycle at the nominal input voltage (DCM)</t>
  </si>
  <si>
    <t>Duty cycle at the maximum input voltage (DCM)</t>
  </si>
  <si>
    <t>Dc_DCM_VIN_min</t>
  </si>
  <si>
    <t>IL_avg_DCM_VIN_min</t>
  </si>
  <si>
    <t>Dc_DCM_VIN_nom</t>
  </si>
  <si>
    <t>IL_avg_DCM_VIN_nom</t>
  </si>
  <si>
    <t>Dc_DCM_VIN_max</t>
  </si>
  <si>
    <t xml:space="preserve">Duty cycle at the mimum input voltage </t>
  </si>
  <si>
    <t>Duty cycle at the nominal input voltage</t>
  </si>
  <si>
    <t>Duty cycle at the maximum input voltage</t>
  </si>
  <si>
    <t>Dc_CCM_max_ideal</t>
  </si>
  <si>
    <t>Dc_CCM_VIN_min</t>
  </si>
  <si>
    <t>IL_avg_CCM_VIN_min</t>
  </si>
  <si>
    <t>Dc_CCM_VIN_nom</t>
  </si>
  <si>
    <t>IL_avg_CCM_VIN_nom</t>
  </si>
  <si>
    <t>Dc_CCM_VIN_max</t>
  </si>
  <si>
    <t>IL_avg_CCM_VIN_max</t>
  </si>
  <si>
    <t>Selected Mode for Calculation</t>
  </si>
  <si>
    <t>Possible Mode due to Load and L Selection</t>
  </si>
  <si>
    <t xml:space="preserve">Ideal Duty Cycle at VSUPPLY(MIN) </t>
  </si>
  <si>
    <t>CCM/DCM selected</t>
  </si>
  <si>
    <t>Rsl_max</t>
  </si>
  <si>
    <t>Maximum Value of Rsl (DS page 21)</t>
  </si>
  <si>
    <t>Operation Mode</t>
  </si>
  <si>
    <t>Version Number</t>
  </si>
  <si>
    <t>1.0.0</t>
  </si>
  <si>
    <t>Version History</t>
  </si>
  <si>
    <t>Version</t>
  </si>
  <si>
    <t>Change List Description</t>
  </si>
  <si>
    <t>Initial Release</t>
  </si>
  <si>
    <r>
      <t>Desired soft-start time at minimum input voltage (T</t>
    </r>
    <r>
      <rPr>
        <vertAlign val="subscript"/>
        <sz val="11"/>
        <color theme="1"/>
        <rFont val="新細明體"/>
        <family val="2"/>
        <scheme val="minor"/>
      </rPr>
      <t>SS</t>
    </r>
    <r>
      <rPr>
        <sz val="11"/>
        <color theme="1"/>
        <rFont val="新細明體"/>
        <family val="2"/>
        <scheme val="minor"/>
      </rPr>
      <t>)</t>
    </r>
  </si>
  <si>
    <r>
      <t>Select a bottom resistor based on calculated value(R</t>
    </r>
    <r>
      <rPr>
        <vertAlign val="subscript"/>
        <sz val="11"/>
        <color theme="1"/>
        <rFont val="新細明體"/>
        <family val="2"/>
        <scheme val="minor"/>
      </rPr>
      <t>FBB</t>
    </r>
    <r>
      <rPr>
        <sz val="11"/>
        <color theme="1"/>
        <rFont val="新細明體"/>
        <family val="2"/>
        <scheme val="minor"/>
      </rPr>
      <t>)</t>
    </r>
  </si>
  <si>
    <t>1.1.0</t>
  </si>
  <si>
    <t>Added DCM mode</t>
  </si>
  <si>
    <t>Sel_Cond_Mode</t>
  </si>
  <si>
    <t>ConductionMode</t>
  </si>
  <si>
    <t>Gain Cross</t>
  </si>
  <si>
    <t>Phase Cross</t>
  </si>
  <si>
    <t>XOVER SEARCH</t>
  </si>
  <si>
    <t>xover</t>
  </si>
  <si>
    <t>phase margin</t>
  </si>
  <si>
    <r>
      <t>Target Output Voltage, V</t>
    </r>
    <r>
      <rPr>
        <vertAlign val="subscript"/>
        <sz val="10"/>
        <color theme="1"/>
        <rFont val="新細明體"/>
        <family val="2"/>
        <scheme val="minor"/>
      </rPr>
      <t>LOAD</t>
    </r>
    <r>
      <rPr>
        <sz val="10"/>
        <color theme="1"/>
        <rFont val="新細明體"/>
        <family val="2"/>
        <scheme val="minor"/>
      </rPr>
      <t xml:space="preserve"> </t>
    </r>
  </si>
  <si>
    <r>
      <t>Desired Output ripple voltage (</t>
    </r>
    <r>
      <rPr>
        <sz val="11"/>
        <color theme="1"/>
        <rFont val="Calibri"/>
        <family val="2"/>
      </rPr>
      <t>Δv</t>
    </r>
    <r>
      <rPr>
        <vertAlign val="subscript"/>
        <sz val="11"/>
        <color theme="1"/>
        <rFont val="Calibri"/>
        <family val="2"/>
      </rPr>
      <t>OUT</t>
    </r>
    <r>
      <rPr>
        <sz val="11"/>
        <color theme="1"/>
        <rFont val="Calibri"/>
        <family val="2"/>
      </rPr>
      <t>)</t>
    </r>
  </si>
  <si>
    <r>
      <rPr>
        <sz val="11"/>
        <color theme="1"/>
        <rFont val="Calibri"/>
        <family val="2"/>
      </rPr>
      <t>μ</t>
    </r>
    <r>
      <rPr>
        <sz val="11"/>
        <color theme="1"/>
        <rFont val="新細明體"/>
        <family val="2"/>
        <scheme val="minor"/>
      </rPr>
      <t>H</t>
    </r>
  </si>
  <si>
    <r>
      <rPr>
        <sz val="11"/>
        <color theme="1"/>
        <rFont val="Calibri"/>
        <family val="2"/>
      </rPr>
      <t>μ</t>
    </r>
    <r>
      <rPr>
        <sz val="11"/>
        <color theme="1"/>
        <rFont val="新細明體"/>
        <family val="2"/>
        <scheme val="minor"/>
      </rPr>
      <t>F</t>
    </r>
  </si>
  <si>
    <t>wp_hf</t>
  </si>
  <si>
    <t>HF pole used for DCM</t>
  </si>
  <si>
    <t>Fn</t>
  </si>
  <si>
    <t>M</t>
  </si>
  <si>
    <t>Hd</t>
  </si>
  <si>
    <t>tauL</t>
  </si>
  <si>
    <t>Suggested maximum bandwidth</t>
  </si>
  <si>
    <r>
      <t>Selected bandwidth (F</t>
    </r>
    <r>
      <rPr>
        <vertAlign val="subscript"/>
        <sz val="11"/>
        <color theme="1"/>
        <rFont val="新細明體"/>
        <family val="2"/>
        <scheme val="minor"/>
      </rPr>
      <t>CO</t>
    </r>
    <r>
      <rPr>
        <sz val="11"/>
        <color theme="1"/>
        <rFont val="新細明體"/>
        <family val="2"/>
        <scheme val="minor"/>
      </rPr>
      <t>)</t>
    </r>
  </si>
  <si>
    <t>Mode</t>
  </si>
  <si>
    <t>Valid Lm</t>
  </si>
  <si>
    <t>L dcm/ccm</t>
  </si>
  <si>
    <t>min</t>
  </si>
  <si>
    <t>max</t>
  </si>
  <si>
    <t>min10%</t>
  </si>
  <si>
    <t>max10%</t>
  </si>
  <si>
    <t>V in min</t>
  </si>
  <si>
    <t>V in nom</t>
  </si>
  <si>
    <t>DC CCM &lt; DCM</t>
  </si>
  <si>
    <t>CCM/DCM</t>
  </si>
  <si>
    <t>Dc_Mode_Loop_Loop</t>
  </si>
  <si>
    <t>Duty Cycle mode for Loop Comenstation</t>
  </si>
  <si>
    <t>CCM only</t>
  </si>
  <si>
    <t>DCM only</t>
  </si>
  <si>
    <t>ModeCheck</t>
  </si>
  <si>
    <t>Lcalc_VIN_max</t>
  </si>
  <si>
    <t>Lcalc_VIN_nom</t>
  </si>
  <si>
    <t>Inductor at Nominal input voltage</t>
  </si>
  <si>
    <t>Inductor at Maximum input voltage</t>
  </si>
  <si>
    <t>V in max</t>
  </si>
  <si>
    <t>Strategy DCM</t>
  </si>
  <si>
    <t>L_DCM</t>
  </si>
  <si>
    <t>1.1.1</t>
  </si>
  <si>
    <t>Fixed reporting of wrong phase Margin</t>
  </si>
  <si>
    <t>Rev 1.1.1</t>
  </si>
  <si>
    <t>August-2021</t>
  </si>
  <si>
    <t>LM5155/56 DC/DC BOOST Controller Design Tool</t>
  </si>
  <si>
    <t>VIN_op_max_56</t>
  </si>
  <si>
    <t>Maximum BIAS pin operating voltage LM5156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</si>
</sst>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_(* #,##0.00_);_(* \(#,##0.00\);_(* &quot;-&quot;??_);_(@_)"/>
    <numFmt numFmtId="177" formatCode="0.000"/>
    <numFmt numFmtId="178" formatCode="0.000E+00"/>
    <numFmt numFmtId="179" formatCode="0.0000"/>
    <numFmt numFmtId="180" formatCode="0.0000E+00"/>
    <numFmt numFmtId="181" formatCode="0.0"/>
    <numFmt numFmtId="182" formatCode="0.0E+00"/>
  </numFmts>
  <fonts count="45" x14ac:knownFonts="1">
    <font>
      <sz val="11"/>
      <color theme="1"/>
      <name val="新細明體"/>
      <family val="2"/>
      <scheme val="minor"/>
    </font>
    <font>
      <sz val="11"/>
      <color theme="1"/>
      <name val="新細明體"/>
      <family val="2"/>
      <scheme val="minor"/>
    </font>
    <font>
      <b/>
      <sz val="11"/>
      <color theme="0"/>
      <name val="新細明體"/>
      <family val="2"/>
      <scheme val="minor"/>
    </font>
    <font>
      <sz val="10"/>
      <name val="Arial"/>
      <family val="2"/>
    </font>
    <font>
      <sz val="10"/>
      <name val="Arial"/>
      <family val="2"/>
    </font>
    <font>
      <b/>
      <sz val="10"/>
      <name val="Arial"/>
      <family val="2"/>
    </font>
    <font>
      <b/>
      <sz val="22"/>
      <color indexed="44"/>
      <name val="Arial"/>
      <family val="2"/>
    </font>
    <font>
      <b/>
      <sz val="9"/>
      <color indexed="81"/>
      <name val="Tahoma"/>
      <family val="2"/>
    </font>
    <font>
      <sz val="9"/>
      <color indexed="81"/>
      <name val="Tahoma"/>
      <family val="2"/>
    </font>
    <font>
      <b/>
      <sz val="12"/>
      <color rgb="FF0000FF"/>
      <name val="Arial"/>
      <family val="2"/>
    </font>
    <font>
      <sz val="28"/>
      <color theme="0"/>
      <name val="新細明體"/>
      <family val="2"/>
      <scheme val="minor"/>
    </font>
    <font>
      <b/>
      <sz val="11"/>
      <color indexed="10"/>
      <name val="Tahoma"/>
      <family val="2"/>
    </font>
    <font>
      <sz val="10"/>
      <color theme="1"/>
      <name val="新細明體"/>
      <family val="2"/>
      <scheme val="minor"/>
    </font>
    <font>
      <vertAlign val="subscript"/>
      <sz val="10"/>
      <color theme="1"/>
      <name val="新細明體"/>
      <family val="2"/>
      <scheme val="minor"/>
    </font>
    <font>
      <sz val="11"/>
      <name val="新細明體"/>
      <family val="2"/>
      <scheme val="minor"/>
    </font>
    <font>
      <b/>
      <sz val="11"/>
      <color rgb="FF0070C0"/>
      <name val="新細明體"/>
      <family val="2"/>
      <scheme val="minor"/>
    </font>
    <font>
      <sz val="11"/>
      <color theme="1"/>
      <name val="Calibri"/>
      <family val="2"/>
    </font>
    <font>
      <u/>
      <sz val="11"/>
      <color theme="1"/>
      <name val="新細明體"/>
      <family val="2"/>
      <scheme val="minor"/>
    </font>
    <font>
      <vertAlign val="subscript"/>
      <sz val="11"/>
      <color theme="1"/>
      <name val="新細明體"/>
      <family val="2"/>
      <scheme val="minor"/>
    </font>
    <font>
      <b/>
      <sz val="12"/>
      <color theme="1"/>
      <name val="新細明體"/>
      <family val="2"/>
      <scheme val="minor"/>
    </font>
    <font>
      <vertAlign val="subscript"/>
      <sz val="11"/>
      <color theme="1"/>
      <name val="Calibri"/>
      <family val="2"/>
    </font>
    <font>
      <b/>
      <sz val="11"/>
      <color theme="3" tint="0.39997558519241921"/>
      <name val="新細明體"/>
      <family val="2"/>
      <scheme val="minor"/>
    </font>
    <font>
      <b/>
      <sz val="11"/>
      <color theme="1"/>
      <name val="新細明體"/>
      <family val="2"/>
      <scheme val="minor"/>
    </font>
    <font>
      <sz val="10"/>
      <name val="新細明體"/>
      <family val="2"/>
      <scheme val="minor"/>
    </font>
    <font>
      <b/>
      <sz val="12"/>
      <color rgb="FF00B0F0"/>
      <name val="新細明體"/>
      <family val="2"/>
      <scheme val="minor"/>
    </font>
    <font>
      <b/>
      <sz val="11"/>
      <color rgb="FF00B0F0"/>
      <name val="新細明體"/>
      <family val="2"/>
      <scheme val="minor"/>
    </font>
    <font>
      <b/>
      <sz val="10"/>
      <color rgb="FF00B0F0"/>
      <name val="Arial"/>
      <family val="2"/>
    </font>
    <font>
      <sz val="18"/>
      <color theme="0"/>
      <name val="新細明體"/>
      <family val="2"/>
      <scheme val="minor"/>
    </font>
    <font>
      <vertAlign val="subscript"/>
      <sz val="10"/>
      <name val="Arial"/>
      <family val="2"/>
    </font>
    <font>
      <vertAlign val="subscript"/>
      <sz val="11"/>
      <name val="新細明體"/>
      <family val="2"/>
      <scheme val="minor"/>
    </font>
    <font>
      <b/>
      <sz val="11"/>
      <color theme="4"/>
      <name val="新細明體"/>
      <family val="2"/>
      <scheme val="minor"/>
    </font>
    <font>
      <b/>
      <sz val="9"/>
      <color indexed="10"/>
      <name val="Tahoma"/>
      <family val="2"/>
    </font>
    <font>
      <vertAlign val="subscript"/>
      <sz val="9"/>
      <color indexed="81"/>
      <name val="Tahoma"/>
      <family val="2"/>
    </font>
    <font>
      <sz val="11"/>
      <color indexed="10"/>
      <name val="新細明體"/>
      <family val="2"/>
      <scheme val="minor"/>
    </font>
    <font>
      <sz val="11"/>
      <color rgb="FFFF0000"/>
      <name val="新細明體"/>
      <family val="2"/>
      <scheme val="minor"/>
    </font>
    <font>
      <u/>
      <sz val="11"/>
      <color theme="10"/>
      <name val="新細明體"/>
      <family val="2"/>
      <scheme val="minor"/>
    </font>
    <font>
      <sz val="11"/>
      <color theme="1"/>
      <name val="Arial"/>
      <family val="2"/>
    </font>
    <font>
      <b/>
      <sz val="10"/>
      <color theme="1"/>
      <name val="Arial"/>
      <family val="2"/>
    </font>
    <font>
      <sz val="10"/>
      <color theme="1"/>
      <name val="Arial"/>
      <family val="2"/>
    </font>
    <font>
      <b/>
      <u/>
      <sz val="10"/>
      <color theme="10"/>
      <name val="Arial"/>
      <family val="2"/>
    </font>
    <font>
      <b/>
      <sz val="10"/>
      <color theme="0"/>
      <name val="Arial"/>
      <family val="2"/>
    </font>
    <font>
      <b/>
      <u/>
      <sz val="11"/>
      <color theme="10"/>
      <name val="Arial"/>
      <family val="2"/>
    </font>
    <font>
      <b/>
      <sz val="8"/>
      <color indexed="81"/>
      <name val="Tahoma"/>
      <family val="2"/>
    </font>
    <font>
      <b/>
      <sz val="9"/>
      <color indexed="52"/>
      <name val="Tahoma"/>
      <family val="2"/>
    </font>
    <font>
      <sz val="9"/>
      <name val="新細明體"/>
      <family val="3"/>
      <charset val="136"/>
      <scheme val="minor"/>
    </font>
  </fonts>
  <fills count="20">
    <fill>
      <patternFill patternType="none"/>
    </fill>
    <fill>
      <patternFill patternType="gray125"/>
    </fill>
    <fill>
      <patternFill patternType="solid">
        <fgColor indexed="8"/>
        <bgColor indexed="64"/>
      </patternFill>
    </fill>
    <fill>
      <patternFill patternType="solid">
        <fgColor indexed="22"/>
        <bgColor indexed="64"/>
      </patternFill>
    </fill>
    <fill>
      <patternFill patternType="solid">
        <fgColor indexed="52"/>
        <bgColor indexed="64"/>
      </patternFill>
    </fill>
    <fill>
      <patternFill patternType="solid">
        <fgColor indexed="50"/>
        <bgColor indexed="64"/>
      </patternFill>
    </fill>
    <fill>
      <patternFill patternType="solid">
        <fgColor rgb="FFFF0000"/>
        <bgColor indexed="64"/>
      </patternFill>
    </fill>
    <fill>
      <patternFill patternType="solid">
        <fgColor rgb="FFFFFF00"/>
        <bgColor indexed="64"/>
      </patternFill>
    </fill>
    <fill>
      <patternFill patternType="solid">
        <fgColor theme="0" tint="-0.499984740745262"/>
        <bgColor indexed="64"/>
      </patternFill>
    </fill>
    <fill>
      <patternFill patternType="solid">
        <fgColor rgb="FFFFC000"/>
        <bgColor indexed="64"/>
      </patternFill>
    </fill>
    <fill>
      <patternFill patternType="solid">
        <fgColor theme="0" tint="-0.249977111117893"/>
        <bgColor indexed="64"/>
      </patternFill>
    </fill>
    <fill>
      <patternFill patternType="solid">
        <fgColor rgb="FF92D050"/>
        <bgColor indexed="64"/>
      </patternFill>
    </fill>
    <fill>
      <patternFill patternType="solid">
        <fgColor theme="0" tint="-0.34998626667073579"/>
        <bgColor indexed="64"/>
      </patternFill>
    </fill>
    <fill>
      <patternFill patternType="solid">
        <fgColor theme="1" tint="4.9989318521683403E-2"/>
        <bgColor indexed="64"/>
      </patternFill>
    </fill>
    <fill>
      <patternFill patternType="solid">
        <fgColor theme="5" tint="0.79998168889431442"/>
        <bgColor indexed="64"/>
      </patternFill>
    </fill>
    <fill>
      <patternFill patternType="solid">
        <fgColor theme="2" tint="-0.89999084444715716"/>
        <bgColor indexed="64"/>
      </patternFill>
    </fill>
    <fill>
      <patternFill patternType="solid">
        <fgColor theme="0"/>
        <bgColor indexed="64"/>
      </patternFill>
    </fill>
    <fill>
      <patternFill patternType="solid">
        <fgColor theme="1"/>
        <bgColor indexed="64"/>
      </patternFill>
    </fill>
    <fill>
      <patternFill patternType="solid">
        <fgColor rgb="FFDE0000"/>
        <bgColor indexed="64"/>
      </patternFill>
    </fill>
    <fill>
      <patternFill patternType="solid">
        <fgColor indexed="44"/>
        <bgColor indexed="64"/>
      </patternFill>
    </fill>
  </fills>
  <borders count="29">
    <border>
      <left/>
      <right/>
      <top/>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9">
    <xf numFmtId="0" fontId="0" fillId="0" borderId="0"/>
    <xf numFmtId="0" fontId="3" fillId="0" borderId="0"/>
    <xf numFmtId="176" fontId="4" fillId="0" borderId="0" applyFont="0" applyFill="0" applyBorder="0" applyAlignment="0" applyProtection="0"/>
    <xf numFmtId="0" fontId="4" fillId="0" borderId="0"/>
    <xf numFmtId="0" fontId="1" fillId="0" borderId="0"/>
    <xf numFmtId="176" fontId="1" fillId="0" borderId="0" applyFont="0" applyFill="0" applyBorder="0" applyAlignment="0" applyProtection="0"/>
    <xf numFmtId="0" fontId="4" fillId="0" borderId="0"/>
    <xf numFmtId="0" fontId="4" fillId="0" borderId="0"/>
    <xf numFmtId="0" fontId="35" fillId="0" borderId="0" applyNumberFormat="0" applyFill="0" applyBorder="0" applyAlignment="0" applyProtection="0"/>
  </cellStyleXfs>
  <cellXfs count="251">
    <xf numFmtId="0" fontId="0" fillId="0" borderId="0" xfId="0"/>
    <xf numFmtId="0" fontId="0" fillId="9" borderId="0" xfId="0" applyFill="1"/>
    <xf numFmtId="0" fontId="16" fillId="0" borderId="0" xfId="0" applyFont="1"/>
    <xf numFmtId="0" fontId="0" fillId="10" borderId="0" xfId="0" applyFill="1"/>
    <xf numFmtId="0" fontId="4" fillId="0" borderId="0" xfId="3"/>
    <xf numFmtId="0" fontId="5" fillId="0" borderId="0" xfId="3" applyFont="1" applyAlignment="1">
      <alignment horizontal="center"/>
    </xf>
    <xf numFmtId="0" fontId="5" fillId="3" borderId="0" xfId="3" applyFont="1" applyFill="1" applyAlignment="1">
      <alignment horizontal="center"/>
    </xf>
    <xf numFmtId="0" fontId="5" fillId="4" borderId="0" xfId="3" applyFont="1" applyFill="1" applyAlignment="1">
      <alignment horizontal="center"/>
    </xf>
    <xf numFmtId="0" fontId="5" fillId="5" borderId="0" xfId="3" applyFont="1" applyFill="1" applyAlignment="1">
      <alignment horizontal="center"/>
    </xf>
    <xf numFmtId="0" fontId="5" fillId="0" borderId="0" xfId="3" applyFont="1"/>
    <xf numFmtId="0" fontId="9" fillId="0" borderId="0" xfId="3" applyFont="1"/>
    <xf numFmtId="2" fontId="0" fillId="10" borderId="0" xfId="0" applyNumberFormat="1" applyFill="1"/>
    <xf numFmtId="0" fontId="0" fillId="11" borderId="0" xfId="0" applyFill="1"/>
    <xf numFmtId="178" fontId="0" fillId="9" borderId="0" xfId="0" applyNumberFormat="1" applyFill="1"/>
    <xf numFmtId="0" fontId="5" fillId="0" borderId="0" xfId="3" applyFont="1" applyAlignment="1">
      <alignment horizontal="right"/>
    </xf>
    <xf numFmtId="0" fontId="4" fillId="0" borderId="0" xfId="3" applyAlignment="1">
      <alignment horizontal="center"/>
    </xf>
    <xf numFmtId="177" fontId="0" fillId="9" borderId="0" xfId="0" applyNumberFormat="1" applyFill="1"/>
    <xf numFmtId="2" fontId="0" fillId="9" borderId="0" xfId="0" applyNumberFormat="1" applyFill="1"/>
    <xf numFmtId="1" fontId="0" fillId="9" borderId="0" xfId="0" applyNumberFormat="1" applyFill="1"/>
    <xf numFmtId="0" fontId="15" fillId="0" borderId="0" xfId="0" applyFont="1"/>
    <xf numFmtId="177" fontId="0" fillId="0" borderId="0" xfId="0" applyNumberFormat="1"/>
    <xf numFmtId="11" fontId="14" fillId="10" borderId="0" xfId="0" applyNumberFormat="1" applyFont="1" applyFill="1"/>
    <xf numFmtId="0" fontId="17" fillId="0" borderId="0" xfId="0" applyFont="1"/>
    <xf numFmtId="2" fontId="0" fillId="0" borderId="0" xfId="0" applyNumberFormat="1"/>
    <xf numFmtId="180" fontId="0" fillId="9" borderId="0" xfId="0" applyNumberFormat="1" applyFill="1"/>
    <xf numFmtId="11" fontId="0" fillId="9" borderId="0" xfId="0" applyNumberFormat="1" applyFill="1"/>
    <xf numFmtId="0" fontId="5" fillId="0" borderId="0" xfId="3" applyFont="1" applyAlignment="1">
      <alignment horizontal="left"/>
    </xf>
    <xf numFmtId="179" fontId="0" fillId="9" borderId="0" xfId="0" applyNumberFormat="1" applyFill="1"/>
    <xf numFmtId="0" fontId="14" fillId="10" borderId="0" xfId="0" applyFont="1" applyFill="1"/>
    <xf numFmtId="0" fontId="19" fillId="0" borderId="0" xfId="0" applyFont="1"/>
    <xf numFmtId="0" fontId="21" fillId="0" borderId="0" xfId="0" applyFont="1"/>
    <xf numFmtId="0" fontId="0" fillId="12" borderId="0" xfId="0" applyFill="1"/>
    <xf numFmtId="1" fontId="0" fillId="0" borderId="0" xfId="0" applyNumberFormat="1"/>
    <xf numFmtId="0" fontId="22" fillId="0" borderId="0" xfId="0" applyFont="1"/>
    <xf numFmtId="0" fontId="23" fillId="0" borderId="0" xfId="0" applyFont="1"/>
    <xf numFmtId="181" fontId="0" fillId="0" borderId="0" xfId="0" applyNumberFormat="1"/>
    <xf numFmtId="182" fontId="0" fillId="0" borderId="0" xfId="0" applyNumberFormat="1"/>
    <xf numFmtId="0" fontId="0" fillId="0" borderId="13" xfId="0" applyBorder="1"/>
    <xf numFmtId="0" fontId="0" fillId="14" borderId="0" xfId="0" applyFill="1"/>
    <xf numFmtId="0" fontId="0" fillId="0" borderId="14" xfId="0" applyBorder="1"/>
    <xf numFmtId="0" fontId="0" fillId="0" borderId="15" xfId="0" applyBorder="1"/>
    <xf numFmtId="0" fontId="0" fillId="0" borderId="16" xfId="0" applyBorder="1"/>
    <xf numFmtId="0" fontId="0" fillId="0" borderId="17" xfId="0" applyBorder="1"/>
    <xf numFmtId="0" fontId="0" fillId="0" borderId="18" xfId="0" applyBorder="1"/>
    <xf numFmtId="0" fontId="4" fillId="0" borderId="0" xfId="3" applyAlignment="1">
      <alignment horizontal="left"/>
    </xf>
    <xf numFmtId="0" fontId="4" fillId="0" borderId="8" xfId="3" applyBorder="1" applyAlignment="1">
      <alignment horizontal="left"/>
    </xf>
    <xf numFmtId="0" fontId="0" fillId="14" borderId="13" xfId="0" applyFill="1" applyBorder="1"/>
    <xf numFmtId="0" fontId="0" fillId="0" borderId="19" xfId="0" applyBorder="1"/>
    <xf numFmtId="0" fontId="0" fillId="14" borderId="15" xfId="0" applyFill="1" applyBorder="1"/>
    <xf numFmtId="0" fontId="0" fillId="0" borderId="20" xfId="0" applyBorder="1" applyAlignment="1">
      <alignment horizontal="center" wrapText="1"/>
    </xf>
    <xf numFmtId="0" fontId="0" fillId="0" borderId="21" xfId="0" applyBorder="1"/>
    <xf numFmtId="0" fontId="0" fillId="0" borderId="22" xfId="0" applyBorder="1"/>
    <xf numFmtId="0" fontId="14" fillId="0" borderId="0" xfId="0" applyFont="1"/>
    <xf numFmtId="0" fontId="0" fillId="6" borderId="0" xfId="0" applyFill="1" applyProtection="1">
      <protection hidden="1"/>
    </xf>
    <xf numFmtId="0" fontId="10" fillId="6" borderId="0" xfId="0" applyFont="1" applyFill="1" applyAlignment="1" applyProtection="1">
      <alignment horizontal="left" vertical="center"/>
      <protection hidden="1"/>
    </xf>
    <xf numFmtId="0" fontId="0" fillId="6" borderId="0" xfId="0" applyFill="1" applyAlignment="1" applyProtection="1">
      <alignment horizontal="right"/>
      <protection hidden="1"/>
    </xf>
    <xf numFmtId="0" fontId="14" fillId="8" borderId="0" xfId="0" applyFont="1" applyFill="1" applyProtection="1">
      <protection hidden="1"/>
    </xf>
    <xf numFmtId="0" fontId="0" fillId="15" borderId="0" xfId="0" applyFill="1" applyProtection="1">
      <protection hidden="1"/>
    </xf>
    <xf numFmtId="0" fontId="0" fillId="8" borderId="0" xfId="0" applyFill="1" applyProtection="1">
      <protection hidden="1"/>
    </xf>
    <xf numFmtId="0" fontId="0" fillId="8" borderId="0" xfId="0" applyFill="1" applyAlignment="1" applyProtection="1">
      <alignment horizontal="right"/>
      <protection hidden="1"/>
    </xf>
    <xf numFmtId="0" fontId="2" fillId="8" borderId="0" xfId="0" applyFont="1" applyFill="1" applyProtection="1">
      <protection hidden="1"/>
    </xf>
    <xf numFmtId="0" fontId="0" fillId="7" borderId="0" xfId="0" applyFill="1" applyProtection="1">
      <protection hidden="1"/>
    </xf>
    <xf numFmtId="0" fontId="2" fillId="8" borderId="0" xfId="0" quotePrefix="1" applyFont="1" applyFill="1" applyProtection="1">
      <protection hidden="1"/>
    </xf>
    <xf numFmtId="0" fontId="0" fillId="8" borderId="1" xfId="0" applyFill="1" applyBorder="1" applyProtection="1">
      <protection hidden="1"/>
    </xf>
    <xf numFmtId="0" fontId="0" fillId="8" borderId="1" xfId="0" applyFill="1" applyBorder="1" applyAlignment="1" applyProtection="1">
      <alignment horizontal="right"/>
      <protection hidden="1"/>
    </xf>
    <xf numFmtId="0" fontId="14" fillId="8" borderId="1" xfId="0" applyFont="1" applyFill="1" applyBorder="1" applyProtection="1">
      <protection hidden="1"/>
    </xf>
    <xf numFmtId="0" fontId="0" fillId="15" borderId="1" xfId="0" applyFill="1" applyBorder="1" applyProtection="1">
      <protection hidden="1"/>
    </xf>
    <xf numFmtId="0" fontId="0" fillId="16" borderId="0" xfId="0" applyFill="1" applyProtection="1">
      <protection hidden="1"/>
    </xf>
    <xf numFmtId="0" fontId="0" fillId="16" borderId="0" xfId="0" applyFill="1" applyAlignment="1" applyProtection="1">
      <alignment horizontal="right"/>
      <protection hidden="1"/>
    </xf>
    <xf numFmtId="49" fontId="0" fillId="16" borderId="0" xfId="0" applyNumberFormat="1" applyFill="1" applyProtection="1">
      <protection hidden="1"/>
    </xf>
    <xf numFmtId="0" fontId="15" fillId="16" borderId="0" xfId="0" applyFont="1" applyFill="1" applyProtection="1">
      <protection hidden="1"/>
    </xf>
    <xf numFmtId="0" fontId="0" fillId="16" borderId="2" xfId="0" applyFill="1" applyBorder="1" applyProtection="1">
      <protection hidden="1"/>
    </xf>
    <xf numFmtId="0" fontId="0" fillId="16" borderId="3" xfId="0" applyFill="1" applyBorder="1" applyProtection="1">
      <protection hidden="1"/>
    </xf>
    <xf numFmtId="0" fontId="12" fillId="16" borderId="3" xfId="3" applyFont="1" applyFill="1" applyBorder="1" applyAlignment="1" applyProtection="1">
      <alignment horizontal="right"/>
      <protection hidden="1"/>
    </xf>
    <xf numFmtId="0" fontId="0" fillId="16" borderId="4" xfId="0" applyFill="1" applyBorder="1" applyProtection="1">
      <protection hidden="1"/>
    </xf>
    <xf numFmtId="0" fontId="0" fillId="16" borderId="5" xfId="0" applyFill="1" applyBorder="1" applyProtection="1">
      <protection hidden="1"/>
    </xf>
    <xf numFmtId="0" fontId="12" fillId="16" borderId="0" xfId="3" applyFont="1" applyFill="1" applyAlignment="1" applyProtection="1">
      <alignment horizontal="right"/>
      <protection hidden="1"/>
    </xf>
    <xf numFmtId="0" fontId="0" fillId="16" borderId="6" xfId="0" applyFill="1" applyBorder="1" applyProtection="1">
      <protection hidden="1"/>
    </xf>
    <xf numFmtId="0" fontId="12" fillId="16" borderId="5" xfId="0" applyFont="1" applyFill="1" applyBorder="1" applyProtection="1">
      <protection hidden="1"/>
    </xf>
    <xf numFmtId="0" fontId="12" fillId="16" borderId="0" xfId="0" applyFont="1" applyFill="1" applyProtection="1">
      <protection hidden="1"/>
    </xf>
    <xf numFmtId="0" fontId="12" fillId="16" borderId="0" xfId="0" applyFont="1" applyFill="1" applyAlignment="1" applyProtection="1">
      <alignment horizontal="right"/>
      <protection hidden="1"/>
    </xf>
    <xf numFmtId="0" fontId="12" fillId="16" borderId="7" xfId="0" applyFont="1" applyFill="1" applyBorder="1" applyProtection="1">
      <protection hidden="1"/>
    </xf>
    <xf numFmtId="0" fontId="12" fillId="16" borderId="8" xfId="0" applyFont="1" applyFill="1" applyBorder="1" applyProtection="1">
      <protection hidden="1"/>
    </xf>
    <xf numFmtId="0" fontId="0" fillId="16" borderId="8" xfId="0" applyFill="1" applyBorder="1" applyProtection="1">
      <protection hidden="1"/>
    </xf>
    <xf numFmtId="0" fontId="12" fillId="16" borderId="8" xfId="0" applyFont="1" applyFill="1" applyBorder="1" applyAlignment="1" applyProtection="1">
      <alignment horizontal="right"/>
      <protection hidden="1"/>
    </xf>
    <xf numFmtId="0" fontId="0" fillId="16" borderId="9" xfId="0" applyFill="1" applyBorder="1" applyProtection="1">
      <protection hidden="1"/>
    </xf>
    <xf numFmtId="0" fontId="12" fillId="16" borderId="2" xfId="0" applyFont="1" applyFill="1" applyBorder="1" applyProtection="1">
      <protection hidden="1"/>
    </xf>
    <xf numFmtId="0" fontId="12" fillId="16" borderId="3" xfId="0" applyFont="1" applyFill="1" applyBorder="1" applyProtection="1">
      <protection hidden="1"/>
    </xf>
    <xf numFmtId="0" fontId="0" fillId="16" borderId="7" xfId="0" applyFill="1" applyBorder="1" applyProtection="1">
      <protection hidden="1"/>
    </xf>
    <xf numFmtId="0" fontId="12" fillId="16" borderId="8" xfId="3" applyFont="1" applyFill="1" applyBorder="1" applyAlignment="1" applyProtection="1">
      <alignment horizontal="right"/>
      <protection hidden="1"/>
    </xf>
    <xf numFmtId="0" fontId="16" fillId="16" borderId="6" xfId="0" applyFont="1" applyFill="1" applyBorder="1" applyProtection="1">
      <protection hidden="1"/>
    </xf>
    <xf numFmtId="0" fontId="0" fillId="16" borderId="8" xfId="0" applyFill="1" applyBorder="1" applyAlignment="1" applyProtection="1">
      <alignment horizontal="right"/>
      <protection hidden="1"/>
    </xf>
    <xf numFmtId="0" fontId="16" fillId="16" borderId="9" xfId="0" applyFont="1" applyFill="1" applyBorder="1" applyProtection="1">
      <protection hidden="1"/>
    </xf>
    <xf numFmtId="0" fontId="0" fillId="16" borderId="3" xfId="0" applyFill="1" applyBorder="1" applyAlignment="1" applyProtection="1">
      <alignment horizontal="right"/>
      <protection hidden="1"/>
    </xf>
    <xf numFmtId="0" fontId="15" fillId="16" borderId="2" xfId="0" applyFont="1" applyFill="1" applyBorder="1" applyProtection="1">
      <protection hidden="1"/>
    </xf>
    <xf numFmtId="0" fontId="14" fillId="16" borderId="3" xfId="0" applyFont="1" applyFill="1" applyBorder="1" applyAlignment="1" applyProtection="1">
      <alignment horizontal="right"/>
      <protection hidden="1"/>
    </xf>
    <xf numFmtId="0" fontId="15" fillId="16" borderId="5" xfId="0" applyFont="1" applyFill="1" applyBorder="1" applyProtection="1">
      <protection hidden="1"/>
    </xf>
    <xf numFmtId="0" fontId="22" fillId="16" borderId="0" xfId="0" applyFont="1" applyFill="1" applyAlignment="1" applyProtection="1">
      <alignment horizontal="right"/>
      <protection hidden="1"/>
    </xf>
    <xf numFmtId="0" fontId="0" fillId="0" borderId="0" xfId="0" applyProtection="1">
      <protection hidden="1"/>
    </xf>
    <xf numFmtId="0" fontId="0" fillId="16" borderId="0" xfId="0" applyFill="1" applyAlignment="1" applyProtection="1">
      <alignment horizontal="center"/>
      <protection hidden="1"/>
    </xf>
    <xf numFmtId="0" fontId="0" fillId="16" borderId="6" xfId="0" applyFill="1" applyBorder="1" applyAlignment="1" applyProtection="1">
      <alignment horizontal="center"/>
      <protection hidden="1"/>
    </xf>
    <xf numFmtId="1" fontId="0" fillId="16" borderId="0" xfId="0" applyNumberFormat="1" applyFill="1" applyProtection="1">
      <protection hidden="1"/>
    </xf>
    <xf numFmtId="0" fontId="27" fillId="13" borderId="0" xfId="0" applyFont="1" applyFill="1" applyProtection="1">
      <protection hidden="1"/>
    </xf>
    <xf numFmtId="0" fontId="0" fillId="13" borderId="0" xfId="0" applyFill="1" applyProtection="1">
      <protection hidden="1"/>
    </xf>
    <xf numFmtId="0" fontId="0" fillId="13" borderId="0" xfId="0" applyFill="1" applyAlignment="1" applyProtection="1">
      <alignment horizontal="right"/>
      <protection hidden="1"/>
    </xf>
    <xf numFmtId="0" fontId="0" fillId="17" borderId="0" xfId="0" applyFill="1" applyProtection="1">
      <protection hidden="1"/>
    </xf>
    <xf numFmtId="0" fontId="30" fillId="16" borderId="0" xfId="0" applyFont="1" applyFill="1" applyAlignment="1" applyProtection="1">
      <alignment horizontal="left"/>
      <protection hidden="1"/>
    </xf>
    <xf numFmtId="0" fontId="4" fillId="16" borderId="3" xfId="3" applyFill="1" applyBorder="1" applyAlignment="1" applyProtection="1">
      <alignment horizontal="right"/>
      <protection hidden="1"/>
    </xf>
    <xf numFmtId="0" fontId="4" fillId="16" borderId="4" xfId="3" applyFill="1" applyBorder="1" applyProtection="1">
      <protection hidden="1"/>
    </xf>
    <xf numFmtId="0" fontId="4" fillId="16" borderId="0" xfId="3" applyFill="1" applyAlignment="1" applyProtection="1">
      <alignment horizontal="right"/>
      <protection hidden="1"/>
    </xf>
    <xf numFmtId="0" fontId="4" fillId="16" borderId="6" xfId="3" applyFill="1" applyBorder="1" applyProtection="1">
      <protection hidden="1"/>
    </xf>
    <xf numFmtId="0" fontId="4" fillId="16" borderId="8" xfId="3" applyFill="1" applyBorder="1" applyAlignment="1" applyProtection="1">
      <alignment horizontal="right"/>
      <protection hidden="1"/>
    </xf>
    <xf numFmtId="0" fontId="4" fillId="16" borderId="9" xfId="3" applyFill="1" applyBorder="1" applyProtection="1">
      <protection hidden="1"/>
    </xf>
    <xf numFmtId="0" fontId="0" fillId="15" borderId="0" xfId="0" applyFill="1" applyAlignment="1" applyProtection="1">
      <alignment horizontal="right"/>
      <protection hidden="1"/>
    </xf>
    <xf numFmtId="0" fontId="14" fillId="15" borderId="0" xfId="0" applyFont="1" applyFill="1" applyProtection="1">
      <protection hidden="1"/>
    </xf>
    <xf numFmtId="0" fontId="34" fillId="16" borderId="0" xfId="0" applyFont="1" applyFill="1" applyProtection="1">
      <protection hidden="1"/>
    </xf>
    <xf numFmtId="0" fontId="0" fillId="7" borderId="24" xfId="0" applyFill="1" applyBorder="1" applyProtection="1">
      <protection locked="0" hidden="1"/>
    </xf>
    <xf numFmtId="0" fontId="0" fillId="7" borderId="25" xfId="0" applyFill="1" applyBorder="1" applyProtection="1">
      <protection locked="0" hidden="1"/>
    </xf>
    <xf numFmtId="2" fontId="0" fillId="16" borderId="25" xfId="0" applyNumberFormat="1" applyFill="1" applyBorder="1" applyProtection="1">
      <protection hidden="1"/>
    </xf>
    <xf numFmtId="0" fontId="0" fillId="16" borderId="25" xfId="0" applyFill="1" applyBorder="1" applyProtection="1">
      <protection hidden="1"/>
    </xf>
    <xf numFmtId="177" fontId="0" fillId="0" borderId="25" xfId="0" applyNumberFormat="1" applyBorder="1" applyProtection="1">
      <protection hidden="1"/>
    </xf>
    <xf numFmtId="2" fontId="0" fillId="0" borderId="26" xfId="0" applyNumberFormat="1" applyBorder="1" applyProtection="1">
      <protection hidden="1"/>
    </xf>
    <xf numFmtId="1" fontId="0" fillId="16" borderId="25" xfId="0" applyNumberFormat="1" applyFill="1" applyBorder="1" applyProtection="1">
      <protection hidden="1"/>
    </xf>
    <xf numFmtId="2" fontId="0" fillId="16" borderId="26" xfId="0" applyNumberFormat="1" applyFill="1" applyBorder="1" applyProtection="1">
      <protection hidden="1"/>
    </xf>
    <xf numFmtId="0" fontId="0" fillId="7" borderId="26" xfId="0" applyFill="1" applyBorder="1" applyProtection="1">
      <protection locked="0" hidden="1"/>
    </xf>
    <xf numFmtId="2" fontId="0" fillId="0" borderId="25" xfId="0" applyNumberFormat="1" applyBorder="1" applyProtection="1">
      <protection hidden="1"/>
    </xf>
    <xf numFmtId="2" fontId="0" fillId="0" borderId="24" xfId="0" applyNumberFormat="1" applyBorder="1" applyProtection="1">
      <protection hidden="1"/>
    </xf>
    <xf numFmtId="1" fontId="0" fillId="0" borderId="26" xfId="0" applyNumberFormat="1" applyBorder="1" applyProtection="1">
      <protection hidden="1"/>
    </xf>
    <xf numFmtId="0" fontId="0" fillId="7" borderId="24" xfId="0" applyFill="1" applyBorder="1" applyAlignment="1" applyProtection="1">
      <alignment vertical="top"/>
      <protection hidden="1"/>
    </xf>
    <xf numFmtId="0" fontId="0" fillId="0" borderId="25" xfId="0" applyBorder="1" applyAlignment="1" applyProtection="1">
      <alignment vertical="top"/>
      <protection hidden="1"/>
    </xf>
    <xf numFmtId="0" fontId="0" fillId="16" borderId="25" xfId="0" applyFill="1" applyBorder="1" applyAlignment="1" applyProtection="1">
      <alignment horizontal="center"/>
      <protection hidden="1"/>
    </xf>
    <xf numFmtId="1" fontId="0" fillId="16" borderId="7" xfId="0" applyNumberFormat="1" applyFill="1" applyBorder="1" applyProtection="1">
      <protection hidden="1"/>
    </xf>
    <xf numFmtId="0" fontId="0" fillId="7" borderId="23" xfId="0" applyFill="1" applyBorder="1" applyProtection="1">
      <protection locked="0" hidden="1"/>
    </xf>
    <xf numFmtId="2" fontId="0" fillId="16" borderId="10" xfId="0" applyNumberFormat="1" applyFill="1" applyBorder="1" applyProtection="1">
      <protection hidden="1"/>
    </xf>
    <xf numFmtId="0" fontId="0" fillId="0" borderId="24" xfId="0" applyBorder="1" applyProtection="1">
      <protection hidden="1"/>
    </xf>
    <xf numFmtId="0" fontId="16" fillId="16" borderId="23" xfId="0" applyFont="1" applyFill="1" applyBorder="1" applyAlignment="1" applyProtection="1">
      <alignment horizontal="left"/>
      <protection hidden="1"/>
    </xf>
    <xf numFmtId="0" fontId="0" fillId="16" borderId="26" xfId="0" applyFill="1" applyBorder="1" applyAlignment="1" applyProtection="1">
      <alignment horizontal="left"/>
      <protection hidden="1"/>
    </xf>
    <xf numFmtId="48" fontId="0" fillId="0" borderId="0" xfId="0" applyNumberFormat="1"/>
    <xf numFmtId="0" fontId="0" fillId="7" borderId="26" xfId="0" applyFill="1" applyBorder="1" applyAlignment="1" applyProtection="1">
      <alignment horizontal="right"/>
      <protection locked="0" hidden="1"/>
    </xf>
    <xf numFmtId="0" fontId="3" fillId="3" borderId="0" xfId="3" applyFont="1" applyFill="1" applyAlignment="1">
      <alignment horizontal="right"/>
    </xf>
    <xf numFmtId="2" fontId="0" fillId="9" borderId="0" xfId="0" applyNumberFormat="1" applyFill="1" applyAlignment="1">
      <alignment horizontal="right"/>
    </xf>
    <xf numFmtId="181" fontId="0" fillId="16" borderId="10" xfId="0" applyNumberFormat="1" applyFill="1" applyBorder="1" applyProtection="1">
      <protection hidden="1"/>
    </xf>
    <xf numFmtId="1" fontId="0" fillId="16" borderId="26" xfId="0" applyNumberFormat="1" applyFill="1" applyBorder="1" applyProtection="1">
      <protection hidden="1"/>
    </xf>
    <xf numFmtId="4" fontId="0" fillId="16" borderId="25" xfId="0" applyNumberFormat="1" applyFill="1" applyBorder="1" applyProtection="1">
      <protection hidden="1"/>
    </xf>
    <xf numFmtId="0" fontId="36" fillId="0" borderId="0" xfId="0" applyFont="1"/>
    <xf numFmtId="0" fontId="37" fillId="0" borderId="0" xfId="0" applyFont="1" applyAlignment="1">
      <alignment horizontal="center"/>
    </xf>
    <xf numFmtId="0" fontId="37" fillId="0" borderId="0" xfId="0" applyFont="1" applyAlignment="1">
      <alignment horizontal="left"/>
    </xf>
    <xf numFmtId="0" fontId="38" fillId="0" borderId="0" xfId="0" applyFont="1"/>
    <xf numFmtId="0" fontId="39" fillId="0" borderId="0" xfId="8" applyFont="1" applyFill="1" applyBorder="1" applyAlignment="1">
      <alignment vertical="center"/>
    </xf>
    <xf numFmtId="0" fontId="39" fillId="0" borderId="0" xfId="8" applyFont="1" applyFill="1" applyBorder="1" applyAlignment="1">
      <alignment horizontal="right" vertical="center"/>
    </xf>
    <xf numFmtId="0" fontId="36" fillId="0" borderId="0" xfId="0" applyFont="1" applyAlignment="1">
      <alignment horizontal="center"/>
    </xf>
    <xf numFmtId="0" fontId="36" fillId="0" borderId="0" xfId="0" applyFont="1" applyAlignment="1">
      <alignment horizontal="left"/>
    </xf>
    <xf numFmtId="0" fontId="38" fillId="0" borderId="0" xfId="0" applyFont="1" applyAlignment="1">
      <alignment horizontal="center"/>
    </xf>
    <xf numFmtId="0" fontId="3" fillId="0" borderId="0" xfId="0" applyFont="1"/>
    <xf numFmtId="0" fontId="40" fillId="17" borderId="0" xfId="0" applyFont="1" applyFill="1" applyAlignment="1">
      <alignment horizontal="center"/>
    </xf>
    <xf numFmtId="0" fontId="41" fillId="0" borderId="0" xfId="8" applyFont="1" applyFill="1" applyBorder="1" applyAlignment="1">
      <alignment vertical="center"/>
    </xf>
    <xf numFmtId="49" fontId="38" fillId="0" borderId="0" xfId="0" applyNumberFormat="1" applyFont="1" applyAlignment="1">
      <alignment horizontal="center"/>
    </xf>
    <xf numFmtId="49" fontId="37" fillId="0" borderId="0" xfId="0" applyNumberFormat="1" applyFont="1" applyAlignment="1">
      <alignment horizontal="left"/>
    </xf>
    <xf numFmtId="0" fontId="5" fillId="0" borderId="0" xfId="3" applyFont="1" applyAlignment="1" applyProtection="1">
      <alignment horizontal="center"/>
      <protection hidden="1"/>
    </xf>
    <xf numFmtId="0" fontId="5" fillId="3" borderId="0" xfId="3" applyFont="1" applyFill="1" applyAlignment="1" applyProtection="1">
      <alignment horizontal="center"/>
      <protection hidden="1"/>
    </xf>
    <xf numFmtId="0" fontId="4" fillId="0" borderId="0" xfId="3" applyProtection="1">
      <protection hidden="1"/>
    </xf>
    <xf numFmtId="0" fontId="5" fillId="4" borderId="0" xfId="3" applyFont="1" applyFill="1" applyAlignment="1" applyProtection="1">
      <alignment horizontal="center"/>
      <protection hidden="1"/>
    </xf>
    <xf numFmtId="0" fontId="5" fillId="0" borderId="0" xfId="3" applyFont="1" applyAlignment="1" applyProtection="1">
      <alignment horizontal="right"/>
      <protection hidden="1"/>
    </xf>
    <xf numFmtId="0" fontId="4" fillId="0" borderId="0" xfId="3" applyAlignment="1" applyProtection="1">
      <alignment horizontal="center"/>
      <protection hidden="1"/>
    </xf>
    <xf numFmtId="0" fontId="5" fillId="0" borderId="0" xfId="3" applyFont="1" applyAlignment="1" applyProtection="1">
      <alignment horizontal="left"/>
      <protection hidden="1"/>
    </xf>
    <xf numFmtId="0" fontId="5" fillId="5" borderId="0" xfId="3" applyFont="1" applyFill="1" applyAlignment="1" applyProtection="1">
      <alignment horizontal="center"/>
      <protection hidden="1"/>
    </xf>
    <xf numFmtId="0" fontId="0" fillId="0" borderId="10" xfId="0" applyBorder="1" applyProtection="1">
      <protection hidden="1"/>
    </xf>
    <xf numFmtId="0" fontId="0" fillId="0" borderId="12" xfId="0" applyBorder="1" applyProtection="1">
      <protection hidden="1"/>
    </xf>
    <xf numFmtId="0" fontId="0" fillId="0" borderId="5" xfId="0" applyBorder="1" applyProtection="1">
      <protection hidden="1"/>
    </xf>
    <xf numFmtId="0" fontId="0" fillId="0" borderId="6" xfId="0" applyBorder="1" applyProtection="1">
      <protection hidden="1"/>
    </xf>
    <xf numFmtId="0" fontId="5" fillId="0" borderId="0" xfId="3" applyFont="1" applyProtection="1">
      <protection hidden="1"/>
    </xf>
    <xf numFmtId="0" fontId="4" fillId="0" borderId="5" xfId="3" applyBorder="1" applyProtection="1">
      <protection hidden="1"/>
    </xf>
    <xf numFmtId="0" fontId="4" fillId="0" borderId="6" xfId="3" applyBorder="1" applyProtection="1">
      <protection hidden="1"/>
    </xf>
    <xf numFmtId="177" fontId="4" fillId="0" borderId="11" xfId="3" applyNumberFormat="1" applyBorder="1" applyProtection="1">
      <protection hidden="1"/>
    </xf>
    <xf numFmtId="0" fontId="4" fillId="0" borderId="11" xfId="3" applyBorder="1" applyProtection="1">
      <protection hidden="1"/>
    </xf>
    <xf numFmtId="0" fontId="0" fillId="0" borderId="11" xfId="0" applyBorder="1" applyProtection="1">
      <protection hidden="1"/>
    </xf>
    <xf numFmtId="0" fontId="4" fillId="0" borderId="10" xfId="3" applyBorder="1" applyProtection="1">
      <protection hidden="1"/>
    </xf>
    <xf numFmtId="177" fontId="0" fillId="0" borderId="11" xfId="0" applyNumberFormat="1" applyBorder="1" applyProtection="1">
      <protection hidden="1"/>
    </xf>
    <xf numFmtId="0" fontId="26" fillId="0" borderId="0" xfId="3" applyFont="1" applyProtection="1">
      <protection hidden="1"/>
    </xf>
    <xf numFmtId="0" fontId="0" fillId="0" borderId="2" xfId="0" applyBorder="1" applyProtection="1">
      <protection hidden="1"/>
    </xf>
    <xf numFmtId="1" fontId="0" fillId="0" borderId="4" xfId="0" applyNumberFormat="1" applyBorder="1" applyProtection="1">
      <protection hidden="1"/>
    </xf>
    <xf numFmtId="177" fontId="4" fillId="0" borderId="3" xfId="3" applyNumberFormat="1" applyBorder="1" applyProtection="1">
      <protection hidden="1"/>
    </xf>
    <xf numFmtId="0" fontId="4" fillId="0" borderId="3" xfId="3" applyBorder="1" applyProtection="1">
      <protection hidden="1"/>
    </xf>
    <xf numFmtId="0" fontId="0" fillId="0" borderId="3" xfId="0" applyBorder="1" applyProtection="1">
      <protection hidden="1"/>
    </xf>
    <xf numFmtId="0" fontId="4" fillId="0" borderId="2" xfId="3" applyBorder="1" applyProtection="1">
      <protection hidden="1"/>
    </xf>
    <xf numFmtId="177" fontId="0" fillId="0" borderId="3" xfId="0" applyNumberFormat="1" applyBorder="1" applyProtection="1">
      <protection hidden="1"/>
    </xf>
    <xf numFmtId="0" fontId="0" fillId="0" borderId="4" xfId="0" applyBorder="1" applyProtection="1">
      <protection hidden="1"/>
    </xf>
    <xf numFmtId="0" fontId="0" fillId="10" borderId="0" xfId="0" applyFill="1" applyProtection="1">
      <protection hidden="1"/>
    </xf>
    <xf numFmtId="1" fontId="0" fillId="0" borderId="6" xfId="0" applyNumberFormat="1" applyBorder="1" applyProtection="1">
      <protection hidden="1"/>
    </xf>
    <xf numFmtId="177" fontId="4" fillId="0" borderId="0" xfId="3" applyNumberFormat="1" applyProtection="1">
      <protection hidden="1"/>
    </xf>
    <xf numFmtId="177" fontId="0" fillId="0" borderId="0" xfId="0" applyNumberFormat="1" applyProtection="1">
      <protection hidden="1"/>
    </xf>
    <xf numFmtId="0" fontId="0" fillId="0" borderId="7" xfId="0" applyBorder="1" applyProtection="1">
      <protection hidden="1"/>
    </xf>
    <xf numFmtId="1" fontId="0" fillId="0" borderId="9" xfId="0" applyNumberFormat="1" applyBorder="1" applyProtection="1">
      <protection hidden="1"/>
    </xf>
    <xf numFmtId="177" fontId="4" fillId="0" borderId="8" xfId="3" applyNumberFormat="1" applyBorder="1" applyProtection="1">
      <protection hidden="1"/>
    </xf>
    <xf numFmtId="0" fontId="4" fillId="0" borderId="8" xfId="3" applyBorder="1" applyProtection="1">
      <protection hidden="1"/>
    </xf>
    <xf numFmtId="0" fontId="0" fillId="0" borderId="8" xfId="0" applyBorder="1" applyProtection="1">
      <protection hidden="1"/>
    </xf>
    <xf numFmtId="0" fontId="4" fillId="0" borderId="7" xfId="3" applyBorder="1" applyProtection="1">
      <protection hidden="1"/>
    </xf>
    <xf numFmtId="177" fontId="0" fillId="0" borderId="8" xfId="0" applyNumberFormat="1" applyBorder="1" applyProtection="1">
      <protection hidden="1"/>
    </xf>
    <xf numFmtId="0" fontId="0" fillId="0" borderId="9" xfId="0" applyBorder="1" applyProtection="1">
      <protection hidden="1"/>
    </xf>
    <xf numFmtId="2" fontId="0" fillId="0" borderId="0" xfId="0" applyNumberFormat="1" applyProtection="1">
      <protection hidden="1"/>
    </xf>
    <xf numFmtId="0" fontId="25" fillId="0" borderId="0" xfId="0" applyFont="1" applyProtection="1">
      <protection hidden="1"/>
    </xf>
    <xf numFmtId="2" fontId="0" fillId="0" borderId="10" xfId="0" applyNumberFormat="1" applyBorder="1" applyProtection="1">
      <protection hidden="1"/>
    </xf>
    <xf numFmtId="2" fontId="0" fillId="0" borderId="5" xfId="0" applyNumberFormat="1" applyBorder="1" applyProtection="1">
      <protection hidden="1"/>
    </xf>
    <xf numFmtId="2" fontId="0" fillId="0" borderId="7" xfId="0" applyNumberFormat="1" applyBorder="1" applyProtection="1">
      <protection hidden="1"/>
    </xf>
    <xf numFmtId="0" fontId="4" fillId="0" borderId="9" xfId="3" applyBorder="1" applyProtection="1">
      <protection hidden="1"/>
    </xf>
    <xf numFmtId="0" fontId="0" fillId="12" borderId="0" xfId="0" applyFill="1" applyProtection="1">
      <protection hidden="1"/>
    </xf>
    <xf numFmtId="0" fontId="16" fillId="0" borderId="0" xfId="0" applyFont="1" applyProtection="1">
      <protection hidden="1"/>
    </xf>
    <xf numFmtId="0" fontId="0" fillId="11" borderId="0" xfId="0" applyFill="1" applyProtection="1">
      <protection hidden="1"/>
    </xf>
    <xf numFmtId="177" fontId="0" fillId="9" borderId="0" xfId="0" applyNumberFormat="1" applyFill="1" applyProtection="1">
      <protection hidden="1"/>
    </xf>
    <xf numFmtId="1" fontId="0" fillId="9" borderId="0" xfId="0" applyNumberFormat="1" applyFill="1" applyProtection="1">
      <protection hidden="1"/>
    </xf>
    <xf numFmtId="2" fontId="0" fillId="9" borderId="0" xfId="0" applyNumberFormat="1" applyFill="1" applyProtection="1">
      <protection hidden="1"/>
    </xf>
    <xf numFmtId="0" fontId="0" fillId="9" borderId="0" xfId="0" applyFill="1" applyProtection="1">
      <protection hidden="1"/>
    </xf>
    <xf numFmtId="0" fontId="24" fillId="0" borderId="0" xfId="0" applyFont="1" applyProtection="1">
      <protection hidden="1"/>
    </xf>
    <xf numFmtId="0" fontId="0" fillId="19" borderId="0" xfId="0" applyFill="1"/>
    <xf numFmtId="0" fontId="0" fillId="0" borderId="5" xfId="0" applyBorder="1"/>
    <xf numFmtId="0" fontId="5" fillId="0" borderId="0" xfId="0" applyFont="1"/>
    <xf numFmtId="2" fontId="3" fillId="0" borderId="0" xfId="0" quotePrefix="1" applyNumberFormat="1" applyFont="1"/>
    <xf numFmtId="0" fontId="0" fillId="0" borderId="0" xfId="0" applyAlignment="1">
      <alignment horizontal="left"/>
    </xf>
    <xf numFmtId="0" fontId="5" fillId="0" borderId="0" xfId="0" applyFont="1" applyAlignment="1">
      <alignment horizontal="left"/>
    </xf>
    <xf numFmtId="177" fontId="0" fillId="0" borderId="26" xfId="0" applyNumberFormat="1" applyBorder="1" applyAlignment="1" applyProtection="1">
      <alignment horizontal="right"/>
      <protection hidden="1"/>
    </xf>
    <xf numFmtId="181" fontId="0" fillId="16" borderId="25" xfId="0" applyNumberFormat="1" applyFill="1" applyBorder="1" applyProtection="1">
      <protection hidden="1"/>
    </xf>
    <xf numFmtId="0" fontId="0" fillId="0" borderId="27" xfId="0" applyBorder="1"/>
    <xf numFmtId="0" fontId="0" fillId="0" borderId="28" xfId="0" applyBorder="1"/>
    <xf numFmtId="0" fontId="0" fillId="0" borderId="24" xfId="0" applyBorder="1"/>
    <xf numFmtId="0" fontId="4" fillId="0" borderId="25" xfId="3" applyBorder="1"/>
    <xf numFmtId="2" fontId="4" fillId="0" borderId="25" xfId="3" applyNumberFormat="1" applyBorder="1" applyAlignment="1">
      <alignment horizontal="center"/>
    </xf>
    <xf numFmtId="0" fontId="38" fillId="0" borderId="0" xfId="0" applyFont="1" applyAlignment="1">
      <alignment wrapText="1"/>
    </xf>
    <xf numFmtId="48" fontId="0" fillId="9" borderId="0" xfId="0" applyNumberFormat="1" applyFill="1"/>
    <xf numFmtId="0" fontId="35" fillId="8" borderId="0" xfId="8" applyFill="1" applyBorder="1" applyAlignment="1" applyProtection="1">
      <alignment horizontal="center"/>
      <protection hidden="1"/>
    </xf>
    <xf numFmtId="0" fontId="6" fillId="2" borderId="0" xfId="3" applyFont="1" applyFill="1" applyAlignment="1">
      <alignment horizontal="center"/>
    </xf>
    <xf numFmtId="0" fontId="5" fillId="0" borderId="0" xfId="3" applyFont="1" applyAlignment="1">
      <alignment horizontal="center"/>
    </xf>
    <xf numFmtId="0" fontId="0" fillId="0" borderId="20" xfId="0" applyBorder="1" applyAlignment="1">
      <alignment horizontal="center" wrapText="1"/>
    </xf>
    <xf numFmtId="0" fontId="0" fillId="0" borderId="21" xfId="0" applyBorder="1" applyAlignment="1">
      <alignment horizontal="center" wrapText="1"/>
    </xf>
    <xf numFmtId="0" fontId="0" fillId="0" borderId="22" xfId="0" applyBorder="1" applyAlignment="1">
      <alignment horizontal="center" wrapText="1"/>
    </xf>
    <xf numFmtId="0" fontId="0" fillId="0" borderId="20"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5" xfId="0" applyBorder="1" applyAlignment="1" applyProtection="1">
      <alignment horizontal="center"/>
      <protection hidden="1"/>
    </xf>
    <xf numFmtId="0" fontId="0" fillId="0" borderId="0" xfId="0" applyAlignment="1" applyProtection="1">
      <alignment horizontal="center"/>
      <protection hidden="1"/>
    </xf>
    <xf numFmtId="0" fontId="0" fillId="0" borderId="6" xfId="0" applyBorder="1" applyAlignment="1" applyProtection="1">
      <alignment horizontal="center"/>
      <protection hidden="1"/>
    </xf>
    <xf numFmtId="0" fontId="22" fillId="0" borderId="10" xfId="0" applyFont="1" applyBorder="1" applyAlignment="1" applyProtection="1">
      <alignment horizontal="center"/>
      <protection hidden="1"/>
    </xf>
    <xf numFmtId="0" fontId="22" fillId="0" borderId="11" xfId="0" applyFont="1" applyBorder="1" applyAlignment="1" applyProtection="1">
      <alignment horizontal="center"/>
      <protection hidden="1"/>
    </xf>
    <xf numFmtId="0" fontId="22" fillId="0" borderId="12" xfId="0" applyFont="1" applyBorder="1" applyAlignment="1" applyProtection="1">
      <alignment horizontal="center"/>
      <protection hidden="1"/>
    </xf>
    <xf numFmtId="0" fontId="4" fillId="0" borderId="0" xfId="3" applyAlignment="1" applyProtection="1">
      <alignment horizontal="center"/>
      <protection hidden="1"/>
    </xf>
    <xf numFmtId="0" fontId="6" fillId="2" borderId="0" xfId="3" applyFont="1" applyFill="1" applyAlignment="1" applyProtection="1">
      <alignment horizontal="center"/>
      <protection hidden="1"/>
    </xf>
    <xf numFmtId="0" fontId="5" fillId="0" borderId="0" xfId="3" applyFont="1" applyAlignment="1" applyProtection="1">
      <alignment horizontal="center"/>
      <protection hidden="1"/>
    </xf>
    <xf numFmtId="0" fontId="36" fillId="0" borderId="0" xfId="0" applyFont="1" applyAlignment="1">
      <alignment horizontal="center"/>
    </xf>
    <xf numFmtId="0" fontId="36" fillId="18" borderId="0" xfId="0" applyFont="1" applyFill="1" applyAlignment="1">
      <alignment horizontal="center"/>
    </xf>
    <xf numFmtId="0" fontId="40" fillId="17" borderId="0" xfId="0" applyFont="1" applyFill="1" applyAlignment="1">
      <alignment horizontal="left"/>
    </xf>
    <xf numFmtId="0" fontId="38" fillId="0" borderId="0" xfId="0" applyFont="1" applyAlignment="1">
      <alignment horizontal="left"/>
    </xf>
    <xf numFmtId="0" fontId="38" fillId="0" borderId="0" xfId="0" applyFont="1" applyAlignment="1">
      <alignment wrapText="1"/>
    </xf>
  </cellXfs>
  <cellStyles count="9">
    <cellStyle name="Comma 2" xfId="5" xr:uid="{00000000-0005-0000-0000-000000000000}"/>
    <cellStyle name="Comma 3" xfId="2" xr:uid="{00000000-0005-0000-0000-000001000000}"/>
    <cellStyle name="Normal 2" xfId="3" xr:uid="{00000000-0005-0000-0000-000003000000}"/>
    <cellStyle name="Normal 3" xfId="4" xr:uid="{00000000-0005-0000-0000-000004000000}"/>
    <cellStyle name="Normal 4" xfId="1" xr:uid="{00000000-0005-0000-0000-000005000000}"/>
    <cellStyle name="Normal 4 2" xfId="7" xr:uid="{00000000-0005-0000-0000-000006000000}"/>
    <cellStyle name="Normal 4 3" xfId="6" xr:uid="{00000000-0005-0000-0000-000007000000}"/>
    <cellStyle name="一般" xfId="0" builtinId="0"/>
    <cellStyle name="超連結" xfId="8" builtinId="8"/>
  </cellStyles>
  <dxfs count="11">
    <dxf>
      <fill>
        <patternFill>
          <bgColor rgb="FFFF0000"/>
        </patternFill>
      </fill>
    </dxf>
    <dxf>
      <fill>
        <patternFill>
          <bgColor rgb="FFFF0000"/>
        </patternFill>
      </fill>
    </dxf>
    <dxf>
      <font>
        <color rgb="FFC00000"/>
      </font>
      <fill>
        <patternFill>
          <bgColor theme="5" tint="0.59996337778862885"/>
        </patternFill>
      </fill>
    </dxf>
    <dxf>
      <font>
        <color rgb="FF9C0006"/>
      </font>
      <fill>
        <patternFill>
          <bgColor rgb="FFFFC7CE"/>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0000"/>
        </patternFill>
      </fill>
    </dxf>
    <dxf>
      <font>
        <color auto="1"/>
      </font>
      <fill>
        <patternFill>
          <bgColor rgb="FFFFC000"/>
        </patternFill>
      </fill>
    </dxf>
    <dxf>
      <fill>
        <patternFill>
          <bgColor rgb="FFFF0000"/>
        </patternFill>
      </fill>
    </dxf>
  </dxfs>
  <tableStyles count="0" defaultTableStyle="TableStyleMedium2" defaultPivotStyle="PivotStyleLight16"/>
  <colors>
    <mruColors>
      <color rgb="FF9C0006"/>
      <color rgb="FFFFC7CE"/>
      <color rgb="FFEAEA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TW"/>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baseline="0"/>
              <a:t>Bode Plot</a:t>
            </a:r>
          </a:p>
        </c:rich>
      </c:tx>
      <c:layout>
        <c:manualLayout>
          <c:xMode val="edge"/>
          <c:yMode val="edge"/>
          <c:x val="9.4354157174953393E-2"/>
          <c:y val="3.9916010498687662E-3"/>
        </c:manualLayout>
      </c:layout>
      <c:overlay val="0"/>
    </c:title>
    <c:autoTitleDeleted val="0"/>
    <c:plotArea>
      <c:layout>
        <c:manualLayout>
          <c:layoutTarget val="inner"/>
          <c:xMode val="edge"/>
          <c:yMode val="edge"/>
          <c:x val="9.0594052720499751E-2"/>
          <c:y val="8.9158108013693851E-2"/>
          <c:w val="0.80965876742891785"/>
          <c:h val="0.76159168715027026"/>
        </c:manualLayout>
      </c:layout>
      <c:scatterChart>
        <c:scatterStyle val="smoothMarker"/>
        <c:varyColors val="0"/>
        <c:ser>
          <c:idx val="0"/>
          <c:order val="0"/>
          <c:tx>
            <c:v>Gain (dB)</c:v>
          </c:tx>
          <c:spPr>
            <a:ln w="28575">
              <a:solidFill>
                <a:srgbClr val="FF0000"/>
              </a:solidFill>
            </a:ln>
          </c:spPr>
          <c:marker>
            <c:symbol val="none"/>
          </c:marker>
          <c:xVal>
            <c:numRef>
              <c:f>Loop_Modeling!$O$19:$O$560</c:f>
              <c:numCache>
                <c:formatCode>0.00</c:formatCode>
                <c:ptCount val="542"/>
                <c:pt idx="0">
                  <c:v>10.232929922807543</c:v>
                </c:pt>
                <c:pt idx="1">
                  <c:v>10.471285480509</c:v>
                </c:pt>
                <c:pt idx="2">
                  <c:v>10.715193052376069</c:v>
                </c:pt>
                <c:pt idx="3">
                  <c:v>10.964781961431854</c:v>
                </c:pt>
                <c:pt idx="4">
                  <c:v>11.220184543019636</c:v>
                </c:pt>
                <c:pt idx="5">
                  <c:v>11.481536214968834</c:v>
                </c:pt>
                <c:pt idx="6">
                  <c:v>11.748975549395301</c:v>
                </c:pt>
                <c:pt idx="7">
                  <c:v>12.022644346174133</c:v>
                </c:pt>
                <c:pt idx="8">
                  <c:v>12.302687708123818</c:v>
                </c:pt>
                <c:pt idx="9">
                  <c:v>12.58925411794168</c:v>
                </c:pt>
                <c:pt idx="10">
                  <c:v>12.882495516931346</c:v>
                </c:pt>
                <c:pt idx="11">
                  <c:v>13.182567385564075</c:v>
                </c:pt>
                <c:pt idx="12">
                  <c:v>13.489628825916535</c:v>
                </c:pt>
                <c:pt idx="13">
                  <c:v>13.803842646028857</c:v>
                </c:pt>
                <c:pt idx="14">
                  <c:v>14.125375446227544</c:v>
                </c:pt>
                <c:pt idx="15">
                  <c:v>14.454397707459275</c:v>
                </c:pt>
                <c:pt idx="16">
                  <c:v>14.791083881682074</c:v>
                </c:pt>
                <c:pt idx="17">
                  <c:v>15.135612484362087</c:v>
                </c:pt>
                <c:pt idx="18">
                  <c:v>15.488166189124817</c:v>
                </c:pt>
                <c:pt idx="19">
                  <c:v>15.848931924611136</c:v>
                </c:pt>
                <c:pt idx="20">
                  <c:v>16.218100973589298</c:v>
                </c:pt>
                <c:pt idx="21">
                  <c:v>16.595869074375614</c:v>
                </c:pt>
                <c:pt idx="22">
                  <c:v>16.982436524617448</c:v>
                </c:pt>
                <c:pt idx="23">
                  <c:v>17.378008287493756</c:v>
                </c:pt>
                <c:pt idx="24">
                  <c:v>17.782794100389236</c:v>
                </c:pt>
                <c:pt idx="25">
                  <c:v>18.197008586099841</c:v>
                </c:pt>
                <c:pt idx="26">
                  <c:v>18.62087136662868</c:v>
                </c:pt>
                <c:pt idx="27">
                  <c:v>19.054607179632477</c:v>
                </c:pt>
                <c:pt idx="28">
                  <c:v>19.498445997580465</c:v>
                </c:pt>
                <c:pt idx="29">
                  <c:v>19.952623149688804</c:v>
                </c:pt>
                <c:pt idx="30">
                  <c:v>20.4173794466953</c:v>
                </c:pt>
                <c:pt idx="31">
                  <c:v>20.8929613085404</c:v>
                </c:pt>
                <c:pt idx="32">
                  <c:v>21.379620895022335</c:v>
                </c:pt>
                <c:pt idx="33">
                  <c:v>21.877616239495538</c:v>
                </c:pt>
                <c:pt idx="34">
                  <c:v>22.387211385683404</c:v>
                </c:pt>
                <c:pt idx="35">
                  <c:v>22.908676527677727</c:v>
                </c:pt>
                <c:pt idx="36">
                  <c:v>23.442288153199236</c:v>
                </c:pt>
                <c:pt idx="37">
                  <c:v>23.988329190194907</c:v>
                </c:pt>
                <c:pt idx="38">
                  <c:v>24.547089156850316</c:v>
                </c:pt>
                <c:pt idx="39">
                  <c:v>25.118864315095799</c:v>
                </c:pt>
                <c:pt idx="40">
                  <c:v>25.703957827688647</c:v>
                </c:pt>
                <c:pt idx="41">
                  <c:v>26.302679918953825</c:v>
                </c:pt>
                <c:pt idx="42">
                  <c:v>26.915348039269158</c:v>
                </c:pt>
                <c:pt idx="43">
                  <c:v>27.542287033381665</c:v>
                </c:pt>
                <c:pt idx="44">
                  <c:v>28.183829312644548</c:v>
                </c:pt>
                <c:pt idx="45">
                  <c:v>28.840315031266066</c:v>
                </c:pt>
                <c:pt idx="46">
                  <c:v>29.512092266663863</c:v>
                </c:pt>
                <c:pt idx="47">
                  <c:v>30.199517204020164</c:v>
                </c:pt>
                <c:pt idx="48">
                  <c:v>30.902954325135919</c:v>
                </c:pt>
                <c:pt idx="49">
                  <c:v>31.622776601683803</c:v>
                </c:pt>
                <c:pt idx="50">
                  <c:v>32.359365692962832</c:v>
                </c:pt>
                <c:pt idx="51">
                  <c:v>33.113112148259127</c:v>
                </c:pt>
                <c:pt idx="52">
                  <c:v>33.884415613920268</c:v>
                </c:pt>
                <c:pt idx="53">
                  <c:v>34.67368504525318</c:v>
                </c:pt>
                <c:pt idx="54">
                  <c:v>35.481338923357555</c:v>
                </c:pt>
                <c:pt idx="55">
                  <c:v>36.307805477010156</c:v>
                </c:pt>
                <c:pt idx="56">
                  <c:v>37.15352290971726</c:v>
                </c:pt>
                <c:pt idx="57">
                  <c:v>38.018939632056139</c:v>
                </c:pt>
                <c:pt idx="58">
                  <c:v>38.904514499428053</c:v>
                </c:pt>
                <c:pt idx="59">
                  <c:v>39.810717055349755</c:v>
                </c:pt>
                <c:pt idx="60">
                  <c:v>40.738027780411279</c:v>
                </c:pt>
                <c:pt idx="61">
                  <c:v>41.686938347033561</c:v>
                </c:pt>
                <c:pt idx="62">
                  <c:v>42.657951880159267</c:v>
                </c:pt>
                <c:pt idx="63">
                  <c:v>43.651583224016633</c:v>
                </c:pt>
                <c:pt idx="64">
                  <c:v>44.668359215096324</c:v>
                </c:pt>
                <c:pt idx="65">
                  <c:v>45.70881896148753</c:v>
                </c:pt>
                <c:pt idx="66">
                  <c:v>46.773514128719818</c:v>
                </c:pt>
                <c:pt idx="67">
                  <c:v>47.863009232263877</c:v>
                </c:pt>
                <c:pt idx="68">
                  <c:v>48.977881936844632</c:v>
                </c:pt>
                <c:pt idx="69">
                  <c:v>50.118723362727238</c:v>
                </c:pt>
                <c:pt idx="70">
                  <c:v>51.28613839913649</c:v>
                </c:pt>
                <c:pt idx="71">
                  <c:v>52.480746024977286</c:v>
                </c:pt>
                <c:pt idx="72">
                  <c:v>53.703179637025293</c:v>
                </c:pt>
                <c:pt idx="73">
                  <c:v>54.95408738576247</c:v>
                </c:pt>
                <c:pt idx="74">
                  <c:v>56.234132519034915</c:v>
                </c:pt>
                <c:pt idx="75">
                  <c:v>57.543993733715695</c:v>
                </c:pt>
                <c:pt idx="76">
                  <c:v>58.884365535558949</c:v>
                </c:pt>
                <c:pt idx="77">
                  <c:v>60.255958607435822</c:v>
                </c:pt>
                <c:pt idx="78">
                  <c:v>61.659500186148257</c:v>
                </c:pt>
                <c:pt idx="79">
                  <c:v>63.095734448019364</c:v>
                </c:pt>
                <c:pt idx="80">
                  <c:v>64.565422903465588</c:v>
                </c:pt>
                <c:pt idx="81">
                  <c:v>66.069344800759623</c:v>
                </c:pt>
                <c:pt idx="82">
                  <c:v>67.60829753919819</c:v>
                </c:pt>
                <c:pt idx="83">
                  <c:v>69.183097091893657</c:v>
                </c:pt>
                <c:pt idx="84">
                  <c:v>70.794578438413865</c:v>
                </c:pt>
                <c:pt idx="85">
                  <c:v>72.443596007499011</c:v>
                </c:pt>
                <c:pt idx="86">
                  <c:v>74.131024130091816</c:v>
                </c:pt>
                <c:pt idx="87">
                  <c:v>75.857757502918361</c:v>
                </c:pt>
                <c:pt idx="88">
                  <c:v>77.624711662869217</c:v>
                </c:pt>
                <c:pt idx="89">
                  <c:v>79.432823472428197</c:v>
                </c:pt>
                <c:pt idx="90">
                  <c:v>81.283051616409963</c:v>
                </c:pt>
                <c:pt idx="91">
                  <c:v>83.176377110267126</c:v>
                </c:pt>
                <c:pt idx="92">
                  <c:v>85.113803820237734</c:v>
                </c:pt>
                <c:pt idx="93">
                  <c:v>87.096358995608071</c:v>
                </c:pt>
                <c:pt idx="94">
                  <c:v>89.125093813374562</c:v>
                </c:pt>
                <c:pt idx="95">
                  <c:v>91.201083935590972</c:v>
                </c:pt>
                <c:pt idx="96">
                  <c:v>93.325430079699174</c:v>
                </c:pt>
                <c:pt idx="97">
                  <c:v>95.499258602143655</c:v>
                </c:pt>
                <c:pt idx="98">
                  <c:v>97.723722095581124</c:v>
                </c:pt>
                <c:pt idx="99">
                  <c:v>100</c:v>
                </c:pt>
                <c:pt idx="100">
                  <c:v>102.32929922807544</c:v>
                </c:pt>
                <c:pt idx="101">
                  <c:v>104.71285480508998</c:v>
                </c:pt>
                <c:pt idx="102">
                  <c:v>107.15193052376065</c:v>
                </c:pt>
                <c:pt idx="103">
                  <c:v>109.64781961431861</c:v>
                </c:pt>
                <c:pt idx="104">
                  <c:v>112.20184543019634</c:v>
                </c:pt>
                <c:pt idx="105">
                  <c:v>114.81536214968835</c:v>
                </c:pt>
                <c:pt idx="106">
                  <c:v>117.48975549395293</c:v>
                </c:pt>
                <c:pt idx="107">
                  <c:v>120.22644346174135</c:v>
                </c:pt>
                <c:pt idx="108">
                  <c:v>123.02687708123821</c:v>
                </c:pt>
                <c:pt idx="109">
                  <c:v>125.89254117941677</c:v>
                </c:pt>
                <c:pt idx="110">
                  <c:v>128.82495516931343</c:v>
                </c:pt>
                <c:pt idx="111">
                  <c:v>131.82567385564084</c:v>
                </c:pt>
                <c:pt idx="112">
                  <c:v>134.89628825916537</c:v>
                </c:pt>
                <c:pt idx="113">
                  <c:v>138.0384264602886</c:v>
                </c:pt>
                <c:pt idx="114">
                  <c:v>141.25375446227542</c:v>
                </c:pt>
                <c:pt idx="115">
                  <c:v>144.54397707459285</c:v>
                </c:pt>
                <c:pt idx="116">
                  <c:v>147.91083881682084</c:v>
                </c:pt>
                <c:pt idx="117">
                  <c:v>151.3561248436209</c:v>
                </c:pt>
                <c:pt idx="118">
                  <c:v>154.8816618912482</c:v>
                </c:pt>
                <c:pt idx="119">
                  <c:v>158.48931924611153</c:v>
                </c:pt>
                <c:pt idx="120">
                  <c:v>162.18100973589304</c:v>
                </c:pt>
                <c:pt idx="121">
                  <c:v>165.95869074375622</c:v>
                </c:pt>
                <c:pt idx="122">
                  <c:v>169.82436524617444</c:v>
                </c:pt>
                <c:pt idx="123">
                  <c:v>173.78008287493768</c:v>
                </c:pt>
                <c:pt idx="124">
                  <c:v>177.82794100389242</c:v>
                </c:pt>
                <c:pt idx="125">
                  <c:v>181.9700858609983</c:v>
                </c:pt>
                <c:pt idx="126">
                  <c:v>186.20871366628685</c:v>
                </c:pt>
                <c:pt idx="127">
                  <c:v>190.54607179632498</c:v>
                </c:pt>
                <c:pt idx="128">
                  <c:v>194.98445997580458</c:v>
                </c:pt>
                <c:pt idx="129">
                  <c:v>199.52623149688802</c:v>
                </c:pt>
                <c:pt idx="130">
                  <c:v>204.17379446695315</c:v>
                </c:pt>
                <c:pt idx="131">
                  <c:v>208.92961308540396</c:v>
                </c:pt>
                <c:pt idx="132">
                  <c:v>213.79620895022339</c:v>
                </c:pt>
                <c:pt idx="133">
                  <c:v>218.77616239495524</c:v>
                </c:pt>
                <c:pt idx="134">
                  <c:v>223.87211385683412</c:v>
                </c:pt>
                <c:pt idx="135">
                  <c:v>229.08676527677744</c:v>
                </c:pt>
                <c:pt idx="136">
                  <c:v>234.42288153199232</c:v>
                </c:pt>
                <c:pt idx="137">
                  <c:v>239.88329190194912</c:v>
                </c:pt>
                <c:pt idx="138">
                  <c:v>245.4708915685033</c:v>
                </c:pt>
                <c:pt idx="139">
                  <c:v>251.18864315095806</c:v>
                </c:pt>
                <c:pt idx="140">
                  <c:v>257.03957827688663</c:v>
                </c:pt>
                <c:pt idx="141">
                  <c:v>263.02679918953817</c:v>
                </c:pt>
                <c:pt idx="142">
                  <c:v>269.15348039269179</c:v>
                </c:pt>
                <c:pt idx="143">
                  <c:v>275.42287033381683</c:v>
                </c:pt>
                <c:pt idx="144">
                  <c:v>281.83829312644554</c:v>
                </c:pt>
                <c:pt idx="145">
                  <c:v>288.40315031266073</c:v>
                </c:pt>
                <c:pt idx="146">
                  <c:v>295.12092266663871</c:v>
                </c:pt>
                <c:pt idx="147">
                  <c:v>301.99517204020168</c:v>
                </c:pt>
                <c:pt idx="148">
                  <c:v>309.02954325135937</c:v>
                </c:pt>
                <c:pt idx="149">
                  <c:v>316.22776601683825</c:v>
                </c:pt>
                <c:pt idx="150">
                  <c:v>323.59365692962825</c:v>
                </c:pt>
                <c:pt idx="151">
                  <c:v>331.13112148259137</c:v>
                </c:pt>
                <c:pt idx="152">
                  <c:v>338.84415613920277</c:v>
                </c:pt>
                <c:pt idx="153">
                  <c:v>346.73685045253183</c:v>
                </c:pt>
                <c:pt idx="154">
                  <c:v>354.81338923357566</c:v>
                </c:pt>
                <c:pt idx="155">
                  <c:v>363.07805477010152</c:v>
                </c:pt>
                <c:pt idx="156">
                  <c:v>371.53522909717265</c:v>
                </c:pt>
                <c:pt idx="157">
                  <c:v>380.18939632056163</c:v>
                </c:pt>
                <c:pt idx="158">
                  <c:v>389.04514499428063</c:v>
                </c:pt>
                <c:pt idx="159">
                  <c:v>398.10717055349761</c:v>
                </c:pt>
                <c:pt idx="160">
                  <c:v>407.38027780411272</c:v>
                </c:pt>
                <c:pt idx="161">
                  <c:v>416.86938347033572</c:v>
                </c:pt>
                <c:pt idx="162">
                  <c:v>426.57951880159294</c:v>
                </c:pt>
                <c:pt idx="163">
                  <c:v>436.51583224016622</c:v>
                </c:pt>
                <c:pt idx="164">
                  <c:v>446.68359215096331</c:v>
                </c:pt>
                <c:pt idx="165">
                  <c:v>457.0881896148756</c:v>
                </c:pt>
                <c:pt idx="166">
                  <c:v>467.7351412871983</c:v>
                </c:pt>
                <c:pt idx="167">
                  <c:v>478.63009232263886</c:v>
                </c:pt>
                <c:pt idx="168">
                  <c:v>489.77881936844625</c:v>
                </c:pt>
                <c:pt idx="169">
                  <c:v>501.18723362727269</c:v>
                </c:pt>
                <c:pt idx="170">
                  <c:v>512.86138399136519</c:v>
                </c:pt>
                <c:pt idx="171">
                  <c:v>524.80746024977248</c:v>
                </c:pt>
                <c:pt idx="172">
                  <c:v>537.03179637025301</c:v>
                </c:pt>
                <c:pt idx="173">
                  <c:v>549.54087385762534</c:v>
                </c:pt>
                <c:pt idx="174">
                  <c:v>562.34132519034927</c:v>
                </c:pt>
                <c:pt idx="175">
                  <c:v>575.43993733715706</c:v>
                </c:pt>
                <c:pt idx="176">
                  <c:v>588.84365535558959</c:v>
                </c:pt>
                <c:pt idx="177">
                  <c:v>602.55958607435832</c:v>
                </c:pt>
                <c:pt idx="178">
                  <c:v>616.59500186148273</c:v>
                </c:pt>
                <c:pt idx="179">
                  <c:v>630.95734448019323</c:v>
                </c:pt>
                <c:pt idx="180">
                  <c:v>645.65422903465594</c:v>
                </c:pt>
                <c:pt idx="181">
                  <c:v>660.69344800759643</c:v>
                </c:pt>
                <c:pt idx="182">
                  <c:v>676.08297539198213</c:v>
                </c:pt>
                <c:pt idx="183">
                  <c:v>691.83097091893671</c:v>
                </c:pt>
                <c:pt idx="184">
                  <c:v>707.94578438413873</c:v>
                </c:pt>
                <c:pt idx="185">
                  <c:v>724.43596007499025</c:v>
                </c:pt>
                <c:pt idx="186">
                  <c:v>741.31024130091828</c:v>
                </c:pt>
                <c:pt idx="187">
                  <c:v>758.57757502918378</c:v>
                </c:pt>
                <c:pt idx="188">
                  <c:v>776.24711662869231</c:v>
                </c:pt>
                <c:pt idx="189">
                  <c:v>794.32823472428208</c:v>
                </c:pt>
                <c:pt idx="190">
                  <c:v>812.83051616409978</c:v>
                </c:pt>
                <c:pt idx="191">
                  <c:v>831.7637711026714</c:v>
                </c:pt>
                <c:pt idx="192">
                  <c:v>851.13803820237763</c:v>
                </c:pt>
                <c:pt idx="193">
                  <c:v>870.96358995608091</c:v>
                </c:pt>
                <c:pt idx="194">
                  <c:v>891.25093813374656</c:v>
                </c:pt>
                <c:pt idx="195">
                  <c:v>912.01083935590987</c:v>
                </c:pt>
                <c:pt idx="196">
                  <c:v>933.25430079699106</c:v>
                </c:pt>
                <c:pt idx="197">
                  <c:v>954.99258602143675</c:v>
                </c:pt>
                <c:pt idx="198">
                  <c:v>977.23722095581138</c:v>
                </c:pt>
                <c:pt idx="199">
                  <c:v>1000</c:v>
                </c:pt>
                <c:pt idx="200">
                  <c:v>1023.2929922807547</c:v>
                </c:pt>
                <c:pt idx="201">
                  <c:v>1047.1285480509</c:v>
                </c:pt>
                <c:pt idx="202">
                  <c:v>1071.5193052376069</c:v>
                </c:pt>
                <c:pt idx="203">
                  <c:v>1096.4781961431863</c:v>
                </c:pt>
                <c:pt idx="204">
                  <c:v>1122.0184543019636</c:v>
                </c:pt>
                <c:pt idx="205">
                  <c:v>1148.1536214968839</c:v>
                </c:pt>
                <c:pt idx="206">
                  <c:v>1174.8975549395295</c:v>
                </c:pt>
                <c:pt idx="207">
                  <c:v>1202.2644346174138</c:v>
                </c:pt>
                <c:pt idx="208">
                  <c:v>1230.2687708123824</c:v>
                </c:pt>
                <c:pt idx="209">
                  <c:v>1258.925411794168</c:v>
                </c:pt>
                <c:pt idx="210">
                  <c:v>1288.2495516931347</c:v>
                </c:pt>
                <c:pt idx="211">
                  <c:v>1318.2567385564089</c:v>
                </c:pt>
                <c:pt idx="212">
                  <c:v>1348.9628825916541</c:v>
                </c:pt>
                <c:pt idx="213">
                  <c:v>1380.3842646028863</c:v>
                </c:pt>
                <c:pt idx="214">
                  <c:v>1412.5375446227545</c:v>
                </c:pt>
                <c:pt idx="215">
                  <c:v>1445.4397707459289</c:v>
                </c:pt>
                <c:pt idx="216">
                  <c:v>1479.1083881682086</c:v>
                </c:pt>
                <c:pt idx="217">
                  <c:v>1513.5612484362093</c:v>
                </c:pt>
                <c:pt idx="218">
                  <c:v>1548.8166189124822</c:v>
                </c:pt>
                <c:pt idx="219">
                  <c:v>1584.8931924611156</c:v>
                </c:pt>
                <c:pt idx="220">
                  <c:v>1621.8100973589308</c:v>
                </c:pt>
                <c:pt idx="221">
                  <c:v>1659.5869074375626</c:v>
                </c:pt>
                <c:pt idx="222">
                  <c:v>1698.2436524617447</c:v>
                </c:pt>
                <c:pt idx="223">
                  <c:v>1737.8008287493772</c:v>
                </c:pt>
                <c:pt idx="224">
                  <c:v>1778.2794100389244</c:v>
                </c:pt>
                <c:pt idx="225">
                  <c:v>1819.7008586099832</c:v>
                </c:pt>
                <c:pt idx="226">
                  <c:v>1862.0871366628687</c:v>
                </c:pt>
                <c:pt idx="227">
                  <c:v>1905.4607179632501</c:v>
                </c:pt>
                <c:pt idx="228">
                  <c:v>1949.8445997580463</c:v>
                </c:pt>
                <c:pt idx="229">
                  <c:v>1995.2623149688804</c:v>
                </c:pt>
                <c:pt idx="230">
                  <c:v>2041.7379446695318</c:v>
                </c:pt>
                <c:pt idx="231">
                  <c:v>2089.2961308540398</c:v>
                </c:pt>
                <c:pt idx="232">
                  <c:v>2137.9620895022344</c:v>
                </c:pt>
                <c:pt idx="233">
                  <c:v>2187.7616239495528</c:v>
                </c:pt>
                <c:pt idx="234">
                  <c:v>2238.7211385683418</c:v>
                </c:pt>
                <c:pt idx="235">
                  <c:v>2290.8676527677749</c:v>
                </c:pt>
                <c:pt idx="236">
                  <c:v>2344.2288153199238</c:v>
                </c:pt>
                <c:pt idx="237">
                  <c:v>2398.8329190194918</c:v>
                </c:pt>
                <c:pt idx="238">
                  <c:v>2454.7089156850338</c:v>
                </c:pt>
                <c:pt idx="239">
                  <c:v>2511.8864315095811</c:v>
                </c:pt>
                <c:pt idx="240">
                  <c:v>2570.3957827688669</c:v>
                </c:pt>
                <c:pt idx="241">
                  <c:v>2630.2679918953822</c:v>
                </c:pt>
                <c:pt idx="242">
                  <c:v>2691.5348039269184</c:v>
                </c:pt>
                <c:pt idx="243">
                  <c:v>2754.228703338169</c:v>
                </c:pt>
                <c:pt idx="244">
                  <c:v>2818.3829312644561</c:v>
                </c:pt>
                <c:pt idx="245">
                  <c:v>2884.0315031266077</c:v>
                </c:pt>
                <c:pt idx="246">
                  <c:v>2951.2092266663876</c:v>
                </c:pt>
                <c:pt idx="247">
                  <c:v>3019.9517204020176</c:v>
                </c:pt>
                <c:pt idx="248">
                  <c:v>3090.295432513592</c:v>
                </c:pt>
                <c:pt idx="249">
                  <c:v>3162.2776601683804</c:v>
                </c:pt>
                <c:pt idx="250">
                  <c:v>3235.9365692962833</c:v>
                </c:pt>
                <c:pt idx="251">
                  <c:v>3311.3112148259115</c:v>
                </c:pt>
                <c:pt idx="252">
                  <c:v>3388.4415613920314</c:v>
                </c:pt>
                <c:pt idx="253">
                  <c:v>3467.3685045253224</c:v>
                </c:pt>
                <c:pt idx="254">
                  <c:v>3548.1338923357539</c:v>
                </c:pt>
                <c:pt idx="255">
                  <c:v>3630.7805477010188</c:v>
                </c:pt>
                <c:pt idx="256">
                  <c:v>3715.352290971724</c:v>
                </c:pt>
                <c:pt idx="257">
                  <c:v>3801.8939632056172</c:v>
                </c:pt>
                <c:pt idx="258">
                  <c:v>3890.451449942811</c:v>
                </c:pt>
                <c:pt idx="259">
                  <c:v>3981.0717055349769</c:v>
                </c:pt>
                <c:pt idx="260">
                  <c:v>4073.8027780411317</c:v>
                </c:pt>
                <c:pt idx="261">
                  <c:v>4168.6938347033583</c:v>
                </c:pt>
                <c:pt idx="262">
                  <c:v>4265.7951880159299</c:v>
                </c:pt>
                <c:pt idx="263">
                  <c:v>4365.1583224016631</c:v>
                </c:pt>
                <c:pt idx="264">
                  <c:v>4466.8359215096343</c:v>
                </c:pt>
                <c:pt idx="265">
                  <c:v>4570.8818961487532</c:v>
                </c:pt>
                <c:pt idx="266">
                  <c:v>4677.3514128719844</c:v>
                </c:pt>
                <c:pt idx="267">
                  <c:v>4786.3009232263848</c:v>
                </c:pt>
                <c:pt idx="268">
                  <c:v>4897.7881936844633</c:v>
                </c:pt>
                <c:pt idx="269">
                  <c:v>5011.8723362727324</c:v>
                </c:pt>
                <c:pt idx="270">
                  <c:v>5128.6138399136489</c:v>
                </c:pt>
                <c:pt idx="271">
                  <c:v>5248.0746024977261</c:v>
                </c:pt>
                <c:pt idx="272">
                  <c:v>5370.3179637025269</c:v>
                </c:pt>
                <c:pt idx="273">
                  <c:v>5495.4087385762541</c:v>
                </c:pt>
                <c:pt idx="274">
                  <c:v>5623.4132519034993</c:v>
                </c:pt>
                <c:pt idx="275">
                  <c:v>5754.399373371567</c:v>
                </c:pt>
                <c:pt idx="276">
                  <c:v>5888.4365535558973</c:v>
                </c:pt>
                <c:pt idx="277">
                  <c:v>6025.595860743585</c:v>
                </c:pt>
                <c:pt idx="278">
                  <c:v>6165.9500186148289</c:v>
                </c:pt>
                <c:pt idx="279">
                  <c:v>6309.5734448019384</c:v>
                </c:pt>
                <c:pt idx="280">
                  <c:v>6456.5422903465615</c:v>
                </c:pt>
                <c:pt idx="281">
                  <c:v>6606.9344800759654</c:v>
                </c:pt>
                <c:pt idx="282">
                  <c:v>6760.8297539198229</c:v>
                </c:pt>
                <c:pt idx="283">
                  <c:v>6918.3097091893687</c:v>
                </c:pt>
                <c:pt idx="284">
                  <c:v>7079.4578438413828</c:v>
                </c:pt>
                <c:pt idx="285">
                  <c:v>7244.3596007499036</c:v>
                </c:pt>
                <c:pt idx="286">
                  <c:v>7413.1024130091773</c:v>
                </c:pt>
                <c:pt idx="287">
                  <c:v>7585.7757502918394</c:v>
                </c:pt>
                <c:pt idx="288">
                  <c:v>7762.4711662869322</c:v>
                </c:pt>
                <c:pt idx="289">
                  <c:v>7943.2823472428154</c:v>
                </c:pt>
                <c:pt idx="290">
                  <c:v>8128.3051616410066</c:v>
                </c:pt>
                <c:pt idx="291">
                  <c:v>8317.6377110267094</c:v>
                </c:pt>
                <c:pt idx="292">
                  <c:v>8511.3803820237772</c:v>
                </c:pt>
                <c:pt idx="293">
                  <c:v>8709.6358995608189</c:v>
                </c:pt>
                <c:pt idx="294">
                  <c:v>8912.5093813374679</c:v>
                </c:pt>
                <c:pt idx="295">
                  <c:v>9120.1083935591087</c:v>
                </c:pt>
                <c:pt idx="296">
                  <c:v>9332.5430079699217</c:v>
                </c:pt>
                <c:pt idx="297">
                  <c:v>9549.9258602143691</c:v>
                </c:pt>
                <c:pt idx="298">
                  <c:v>9772.3722095581161</c:v>
                </c:pt>
                <c:pt idx="299">
                  <c:v>10000</c:v>
                </c:pt>
                <c:pt idx="300">
                  <c:v>10232.929922807549</c:v>
                </c:pt>
                <c:pt idx="301">
                  <c:v>10471.285480509003</c:v>
                </c:pt>
                <c:pt idx="302">
                  <c:v>10715.193052376071</c:v>
                </c:pt>
                <c:pt idx="303">
                  <c:v>10964.781961431856</c:v>
                </c:pt>
                <c:pt idx="304">
                  <c:v>11220.184543019639</c:v>
                </c:pt>
                <c:pt idx="305">
                  <c:v>11481.536214968832</c:v>
                </c:pt>
                <c:pt idx="306">
                  <c:v>11748.975549395318</c:v>
                </c:pt>
                <c:pt idx="307">
                  <c:v>12022.644346174151</c:v>
                </c:pt>
                <c:pt idx="308">
                  <c:v>12302.687708123816</c:v>
                </c:pt>
                <c:pt idx="309">
                  <c:v>12589.254117941671</c:v>
                </c:pt>
                <c:pt idx="310">
                  <c:v>12882.49551693136</c:v>
                </c:pt>
                <c:pt idx="311">
                  <c:v>13182.567385564091</c:v>
                </c:pt>
                <c:pt idx="312">
                  <c:v>13489.628825916556</c:v>
                </c:pt>
                <c:pt idx="313">
                  <c:v>13803.842646028841</c:v>
                </c:pt>
                <c:pt idx="314">
                  <c:v>14125.375446227561</c:v>
                </c:pt>
                <c:pt idx="315">
                  <c:v>14454.397707459291</c:v>
                </c:pt>
                <c:pt idx="316">
                  <c:v>14791.083881682089</c:v>
                </c:pt>
                <c:pt idx="317">
                  <c:v>15135.612484362096</c:v>
                </c:pt>
                <c:pt idx="318">
                  <c:v>15488.166189124853</c:v>
                </c:pt>
                <c:pt idx="319">
                  <c:v>15848.931924611146</c:v>
                </c:pt>
                <c:pt idx="320">
                  <c:v>16218.100973589309</c:v>
                </c:pt>
                <c:pt idx="321">
                  <c:v>16595.869074375616</c:v>
                </c:pt>
                <c:pt idx="322">
                  <c:v>16982.436524617482</c:v>
                </c:pt>
                <c:pt idx="323">
                  <c:v>17378.008287493791</c:v>
                </c:pt>
                <c:pt idx="324">
                  <c:v>17782.794100389234</c:v>
                </c:pt>
                <c:pt idx="325">
                  <c:v>18197.008586099837</c:v>
                </c:pt>
                <c:pt idx="326">
                  <c:v>18620.871366628675</c:v>
                </c:pt>
                <c:pt idx="327">
                  <c:v>19054.607179632505</c:v>
                </c:pt>
                <c:pt idx="328">
                  <c:v>19498.445997580486</c:v>
                </c:pt>
                <c:pt idx="329">
                  <c:v>19952.623149688792</c:v>
                </c:pt>
                <c:pt idx="330">
                  <c:v>20417.379446695286</c:v>
                </c:pt>
                <c:pt idx="331">
                  <c:v>20892.961308540423</c:v>
                </c:pt>
                <c:pt idx="332">
                  <c:v>21379.620895022348</c:v>
                </c:pt>
                <c:pt idx="333">
                  <c:v>21877.61623949555</c:v>
                </c:pt>
                <c:pt idx="334">
                  <c:v>22387.211385683382</c:v>
                </c:pt>
                <c:pt idx="335">
                  <c:v>22908.676527677751</c:v>
                </c:pt>
                <c:pt idx="336">
                  <c:v>23442.288153199243</c:v>
                </c:pt>
                <c:pt idx="337">
                  <c:v>23988.329190194923</c:v>
                </c:pt>
                <c:pt idx="338">
                  <c:v>24547.089156850321</c:v>
                </c:pt>
                <c:pt idx="339">
                  <c:v>25118.86431509586</c:v>
                </c:pt>
                <c:pt idx="340">
                  <c:v>25703.95782768865</c:v>
                </c:pt>
                <c:pt idx="341">
                  <c:v>26302.679918953829</c:v>
                </c:pt>
                <c:pt idx="342">
                  <c:v>26915.348039269167</c:v>
                </c:pt>
                <c:pt idx="343">
                  <c:v>27542.287033381719</c:v>
                </c:pt>
                <c:pt idx="344">
                  <c:v>28183.829312644593</c:v>
                </c:pt>
                <c:pt idx="345">
                  <c:v>28840.315031266062</c:v>
                </c:pt>
                <c:pt idx="346">
                  <c:v>29512.092266663854</c:v>
                </c:pt>
                <c:pt idx="347">
                  <c:v>30199.517204020212</c:v>
                </c:pt>
                <c:pt idx="348">
                  <c:v>30902.954325135954</c:v>
                </c:pt>
                <c:pt idx="349">
                  <c:v>31622.77660168384</c:v>
                </c:pt>
                <c:pt idx="350">
                  <c:v>32359.365692962871</c:v>
                </c:pt>
                <c:pt idx="351">
                  <c:v>33113.11214825909</c:v>
                </c:pt>
                <c:pt idx="352">
                  <c:v>33884.41561392029</c:v>
                </c:pt>
                <c:pt idx="353">
                  <c:v>34673.685045253202</c:v>
                </c:pt>
                <c:pt idx="354">
                  <c:v>35481.33892335758</c:v>
                </c:pt>
                <c:pt idx="355">
                  <c:v>36307.805477010232</c:v>
                </c:pt>
                <c:pt idx="356">
                  <c:v>37153.522909717351</c:v>
                </c:pt>
                <c:pt idx="357">
                  <c:v>38018.939632056143</c:v>
                </c:pt>
                <c:pt idx="358">
                  <c:v>38904.514499428085</c:v>
                </c:pt>
                <c:pt idx="359">
                  <c:v>39810.717055349742</c:v>
                </c:pt>
                <c:pt idx="360">
                  <c:v>40738.027780411358</c:v>
                </c:pt>
                <c:pt idx="361">
                  <c:v>41686.938347033625</c:v>
                </c:pt>
                <c:pt idx="362">
                  <c:v>42657.951880159271</c:v>
                </c:pt>
                <c:pt idx="363">
                  <c:v>43651.583224016598</c:v>
                </c:pt>
                <c:pt idx="364">
                  <c:v>44668.359215096389</c:v>
                </c:pt>
                <c:pt idx="365">
                  <c:v>45708.818961487581</c:v>
                </c:pt>
                <c:pt idx="366">
                  <c:v>46773.514128719893</c:v>
                </c:pt>
                <c:pt idx="367">
                  <c:v>47863.009232263823</c:v>
                </c:pt>
                <c:pt idx="368">
                  <c:v>48977.881936844598</c:v>
                </c:pt>
                <c:pt idx="369">
                  <c:v>50118.723362727294</c:v>
                </c:pt>
                <c:pt idx="370">
                  <c:v>51286.138399136544</c:v>
                </c:pt>
                <c:pt idx="371">
                  <c:v>52480.746024977314</c:v>
                </c:pt>
                <c:pt idx="372">
                  <c:v>53703.179637025423</c:v>
                </c:pt>
                <c:pt idx="373">
                  <c:v>54954.087385762505</c:v>
                </c:pt>
                <c:pt idx="374">
                  <c:v>56234.132519034953</c:v>
                </c:pt>
                <c:pt idx="375">
                  <c:v>57543.993733715732</c:v>
                </c:pt>
                <c:pt idx="376">
                  <c:v>58884.365535558936</c:v>
                </c:pt>
                <c:pt idx="377">
                  <c:v>60255.95860743591</c:v>
                </c:pt>
                <c:pt idx="378">
                  <c:v>61659.500186148245</c:v>
                </c:pt>
                <c:pt idx="379">
                  <c:v>63095.734448019342</c:v>
                </c:pt>
                <c:pt idx="380">
                  <c:v>64565.422903465682</c:v>
                </c:pt>
                <c:pt idx="381">
                  <c:v>66069.344800759733</c:v>
                </c:pt>
                <c:pt idx="382">
                  <c:v>67608.297539198305</c:v>
                </c:pt>
                <c:pt idx="383">
                  <c:v>69183.097091893651</c:v>
                </c:pt>
                <c:pt idx="384">
                  <c:v>70794.578438413781</c:v>
                </c:pt>
                <c:pt idx="385">
                  <c:v>72443.596007499116</c:v>
                </c:pt>
                <c:pt idx="386">
                  <c:v>74131.024130091857</c:v>
                </c:pt>
                <c:pt idx="387">
                  <c:v>75857.757502918481</c:v>
                </c:pt>
                <c:pt idx="388">
                  <c:v>77624.711662869129</c:v>
                </c:pt>
                <c:pt idx="389">
                  <c:v>79432.823472428237</c:v>
                </c:pt>
                <c:pt idx="390">
                  <c:v>81283.051616410012</c:v>
                </c:pt>
                <c:pt idx="391">
                  <c:v>83176.377110267174</c:v>
                </c:pt>
                <c:pt idx="392">
                  <c:v>85113.803820237721</c:v>
                </c:pt>
                <c:pt idx="393">
                  <c:v>87096.358995608127</c:v>
                </c:pt>
                <c:pt idx="394">
                  <c:v>89125.093813374609</c:v>
                </c:pt>
                <c:pt idx="395">
                  <c:v>91201.083935591028</c:v>
                </c:pt>
                <c:pt idx="396">
                  <c:v>93325.430079699145</c:v>
                </c:pt>
                <c:pt idx="397">
                  <c:v>95499.258602143804</c:v>
                </c:pt>
                <c:pt idx="398">
                  <c:v>97723.722095581266</c:v>
                </c:pt>
                <c:pt idx="399">
                  <c:v>100000</c:v>
                </c:pt>
                <c:pt idx="400">
                  <c:v>102329.29922807543</c:v>
                </c:pt>
                <c:pt idx="401">
                  <c:v>104712.85480508996</c:v>
                </c:pt>
                <c:pt idx="402">
                  <c:v>107151.93052376082</c:v>
                </c:pt>
                <c:pt idx="403">
                  <c:v>109647.81961431868</c:v>
                </c:pt>
                <c:pt idx="404">
                  <c:v>112201.84543019651</c:v>
                </c:pt>
                <c:pt idx="405">
                  <c:v>114815.36214968823</c:v>
                </c:pt>
                <c:pt idx="406">
                  <c:v>117489.75549395311</c:v>
                </c:pt>
                <c:pt idx="407">
                  <c:v>120226.44346174144</c:v>
                </c:pt>
                <c:pt idx="408">
                  <c:v>123026.87708123829</c:v>
                </c:pt>
                <c:pt idx="409">
                  <c:v>125892.54117941685</c:v>
                </c:pt>
                <c:pt idx="410">
                  <c:v>128824.95516931375</c:v>
                </c:pt>
                <c:pt idx="411">
                  <c:v>131825.67385564081</c:v>
                </c:pt>
                <c:pt idx="412">
                  <c:v>134896.28825916545</c:v>
                </c:pt>
                <c:pt idx="413">
                  <c:v>138038.42646028858</c:v>
                </c:pt>
                <c:pt idx="414">
                  <c:v>141253.75446227577</c:v>
                </c:pt>
                <c:pt idx="415">
                  <c:v>144543.97707459307</c:v>
                </c:pt>
                <c:pt idx="416">
                  <c:v>147910.83881682079</c:v>
                </c:pt>
                <c:pt idx="417">
                  <c:v>151356.12484362084</c:v>
                </c:pt>
                <c:pt idx="418">
                  <c:v>154881.66189124843</c:v>
                </c:pt>
                <c:pt idx="419">
                  <c:v>158489.31924611164</c:v>
                </c:pt>
                <c:pt idx="420">
                  <c:v>162181.00973589328</c:v>
                </c:pt>
                <c:pt idx="421">
                  <c:v>165958.69074375604</c:v>
                </c:pt>
                <c:pt idx="422">
                  <c:v>169824.36524617471</c:v>
                </c:pt>
                <c:pt idx="423">
                  <c:v>173780.0828749378</c:v>
                </c:pt>
                <c:pt idx="424">
                  <c:v>177827.94100389251</c:v>
                </c:pt>
                <c:pt idx="425">
                  <c:v>181970.08586099857</c:v>
                </c:pt>
                <c:pt idx="426">
                  <c:v>186208.71366628664</c:v>
                </c:pt>
                <c:pt idx="427">
                  <c:v>190546.07179632492</c:v>
                </c:pt>
                <c:pt idx="428">
                  <c:v>194984.45997580473</c:v>
                </c:pt>
                <c:pt idx="429">
                  <c:v>199526.23149688813</c:v>
                </c:pt>
                <c:pt idx="430">
                  <c:v>204173.79446695308</c:v>
                </c:pt>
                <c:pt idx="431">
                  <c:v>208929.61308540447</c:v>
                </c:pt>
                <c:pt idx="432">
                  <c:v>213796.20895022334</c:v>
                </c:pt>
                <c:pt idx="433">
                  <c:v>218776.16239495538</c:v>
                </c:pt>
                <c:pt idx="434">
                  <c:v>223872.11385683404</c:v>
                </c:pt>
                <c:pt idx="435">
                  <c:v>229086.76527677779</c:v>
                </c:pt>
                <c:pt idx="436">
                  <c:v>234422.88153199267</c:v>
                </c:pt>
                <c:pt idx="437">
                  <c:v>239883.29190194907</c:v>
                </c:pt>
                <c:pt idx="438">
                  <c:v>245470.89156850305</c:v>
                </c:pt>
                <c:pt idx="439">
                  <c:v>251188.64315095844</c:v>
                </c:pt>
                <c:pt idx="440">
                  <c:v>257039.57827688678</c:v>
                </c:pt>
                <c:pt idx="441">
                  <c:v>263026.79918953858</c:v>
                </c:pt>
                <c:pt idx="442">
                  <c:v>269153.48039269145</c:v>
                </c:pt>
                <c:pt idx="443">
                  <c:v>275422.87033381703</c:v>
                </c:pt>
                <c:pt idx="444">
                  <c:v>281838.29312644573</c:v>
                </c:pt>
                <c:pt idx="445">
                  <c:v>288403.1503126609</c:v>
                </c:pt>
                <c:pt idx="446">
                  <c:v>295120.92266663886</c:v>
                </c:pt>
                <c:pt idx="447">
                  <c:v>301995.17204020242</c:v>
                </c:pt>
                <c:pt idx="448">
                  <c:v>309029.54325135931</c:v>
                </c:pt>
                <c:pt idx="449">
                  <c:v>316227.7660168382</c:v>
                </c:pt>
                <c:pt idx="450">
                  <c:v>323593.65692962846</c:v>
                </c:pt>
                <c:pt idx="451">
                  <c:v>331131.12148259126</c:v>
                </c:pt>
                <c:pt idx="452">
                  <c:v>338844.15613920329</c:v>
                </c:pt>
                <c:pt idx="453">
                  <c:v>346736.85045253241</c:v>
                </c:pt>
                <c:pt idx="454">
                  <c:v>354813.38923357555</c:v>
                </c:pt>
                <c:pt idx="455">
                  <c:v>363078.05477010203</c:v>
                </c:pt>
                <c:pt idx="456">
                  <c:v>371535.2290971732</c:v>
                </c:pt>
                <c:pt idx="457">
                  <c:v>380189.39632056188</c:v>
                </c:pt>
                <c:pt idx="458">
                  <c:v>389045.14499428123</c:v>
                </c:pt>
                <c:pt idx="459">
                  <c:v>398107.17055349716</c:v>
                </c:pt>
                <c:pt idx="460">
                  <c:v>407380.27780411334</c:v>
                </c:pt>
                <c:pt idx="461">
                  <c:v>416869.38347033598</c:v>
                </c:pt>
                <c:pt idx="462">
                  <c:v>426579.51880159322</c:v>
                </c:pt>
                <c:pt idx="463">
                  <c:v>436515.83224016649</c:v>
                </c:pt>
                <c:pt idx="464">
                  <c:v>446683.59215096442</c:v>
                </c:pt>
                <c:pt idx="465">
                  <c:v>457088.18961487547</c:v>
                </c:pt>
                <c:pt idx="466">
                  <c:v>467735.14128719864</c:v>
                </c:pt>
                <c:pt idx="467">
                  <c:v>478630.09232263872</c:v>
                </c:pt>
                <c:pt idx="468">
                  <c:v>489778.81936844654</c:v>
                </c:pt>
                <c:pt idx="469">
                  <c:v>501187.23362727347</c:v>
                </c:pt>
                <c:pt idx="470">
                  <c:v>512861.38399136515</c:v>
                </c:pt>
                <c:pt idx="471">
                  <c:v>524807.46024977288</c:v>
                </c:pt>
                <c:pt idx="472">
                  <c:v>537031.7963702539</c:v>
                </c:pt>
                <c:pt idx="473">
                  <c:v>549540.87385762564</c:v>
                </c:pt>
                <c:pt idx="474">
                  <c:v>562341.32519035018</c:v>
                </c:pt>
                <c:pt idx="475">
                  <c:v>575439.93733715697</c:v>
                </c:pt>
                <c:pt idx="476">
                  <c:v>588843.65535558888</c:v>
                </c:pt>
                <c:pt idx="477">
                  <c:v>602559.58607435878</c:v>
                </c:pt>
                <c:pt idx="478">
                  <c:v>616595.00186148309</c:v>
                </c:pt>
                <c:pt idx="479">
                  <c:v>630957.34448019415</c:v>
                </c:pt>
                <c:pt idx="480">
                  <c:v>645654.22903465747</c:v>
                </c:pt>
                <c:pt idx="481">
                  <c:v>660693.44800759677</c:v>
                </c:pt>
                <c:pt idx="482">
                  <c:v>676082.97539198259</c:v>
                </c:pt>
                <c:pt idx="483">
                  <c:v>691830.97091893724</c:v>
                </c:pt>
                <c:pt idx="484">
                  <c:v>707945.78438413853</c:v>
                </c:pt>
                <c:pt idx="485">
                  <c:v>724435.96007499192</c:v>
                </c:pt>
                <c:pt idx="486">
                  <c:v>741310.24130091805</c:v>
                </c:pt>
                <c:pt idx="487">
                  <c:v>758577.57502918423</c:v>
                </c:pt>
                <c:pt idx="488">
                  <c:v>776247.11662869214</c:v>
                </c:pt>
                <c:pt idx="489">
                  <c:v>794328.23472428333</c:v>
                </c:pt>
                <c:pt idx="490">
                  <c:v>812830.51616410096</c:v>
                </c:pt>
                <c:pt idx="491">
                  <c:v>831763.77110267128</c:v>
                </c:pt>
                <c:pt idx="492">
                  <c:v>851138.03820237669</c:v>
                </c:pt>
                <c:pt idx="493">
                  <c:v>870963.58995608077</c:v>
                </c:pt>
                <c:pt idx="494">
                  <c:v>891250.93813374708</c:v>
                </c:pt>
                <c:pt idx="495">
                  <c:v>912010.83935591124</c:v>
                </c:pt>
                <c:pt idx="496">
                  <c:v>933254.30079699249</c:v>
                </c:pt>
                <c:pt idx="497">
                  <c:v>954992.58602143743</c:v>
                </c:pt>
                <c:pt idx="498">
                  <c:v>977237.22095581202</c:v>
                </c:pt>
                <c:pt idx="499">
                  <c:v>1000000</c:v>
                </c:pt>
                <c:pt idx="500">
                  <c:v>1023292.9922807553</c:v>
                </c:pt>
                <c:pt idx="501">
                  <c:v>1047128.5480509007</c:v>
                </c:pt>
                <c:pt idx="502">
                  <c:v>1071519.3052376076</c:v>
                </c:pt>
                <c:pt idx="503">
                  <c:v>1096478.196143186</c:v>
                </c:pt>
                <c:pt idx="504">
                  <c:v>1122018.4543019643</c:v>
                </c:pt>
                <c:pt idx="505">
                  <c:v>1148153.6214968837</c:v>
                </c:pt>
                <c:pt idx="506">
                  <c:v>1174897.5549395324</c:v>
                </c:pt>
                <c:pt idx="507">
                  <c:v>1202264.4346174158</c:v>
                </c:pt>
                <c:pt idx="508">
                  <c:v>1230268.770812382</c:v>
                </c:pt>
                <c:pt idx="509">
                  <c:v>1258925.4117941677</c:v>
                </c:pt>
                <c:pt idx="510">
                  <c:v>1288249.5516931366</c:v>
                </c:pt>
                <c:pt idx="511">
                  <c:v>1318256.7385564097</c:v>
                </c:pt>
                <c:pt idx="512">
                  <c:v>1348962.8825916562</c:v>
                </c:pt>
                <c:pt idx="513">
                  <c:v>1380384.2646028849</c:v>
                </c:pt>
                <c:pt idx="514">
                  <c:v>1412537.5446227565</c:v>
                </c:pt>
                <c:pt idx="515">
                  <c:v>1445439.7707459298</c:v>
                </c:pt>
                <c:pt idx="516">
                  <c:v>1479108.3881682095</c:v>
                </c:pt>
                <c:pt idx="517">
                  <c:v>1513561.2484362102</c:v>
                </c:pt>
                <c:pt idx="518">
                  <c:v>1548816.6189124861</c:v>
                </c:pt>
                <c:pt idx="519">
                  <c:v>1584893.1924611153</c:v>
                </c:pt>
                <c:pt idx="520">
                  <c:v>1621810.0973589318</c:v>
                </c:pt>
                <c:pt idx="521">
                  <c:v>1659586.9074375622</c:v>
                </c:pt>
                <c:pt idx="522">
                  <c:v>1698243.6524617488</c:v>
                </c:pt>
                <c:pt idx="523">
                  <c:v>1737800.8287493798</c:v>
                </c:pt>
                <c:pt idx="524">
                  <c:v>1778279.4100389241</c:v>
                </c:pt>
                <c:pt idx="525">
                  <c:v>1819700.8586099846</c:v>
                </c:pt>
                <c:pt idx="526">
                  <c:v>1862087.1366628683</c:v>
                </c:pt>
                <c:pt idx="527">
                  <c:v>1905460.7179632513</c:v>
                </c:pt>
                <c:pt idx="528">
                  <c:v>1949844.5997580495</c:v>
                </c:pt>
                <c:pt idx="529">
                  <c:v>1995262.31496888</c:v>
                </c:pt>
                <c:pt idx="530">
                  <c:v>2041737.9446695296</c:v>
                </c:pt>
                <c:pt idx="531">
                  <c:v>2089296.1308540432</c:v>
                </c:pt>
                <c:pt idx="532">
                  <c:v>2137962.0895022359</c:v>
                </c:pt>
                <c:pt idx="533">
                  <c:v>2187761.6239495561</c:v>
                </c:pt>
                <c:pt idx="534">
                  <c:v>2238721.1385683389</c:v>
                </c:pt>
                <c:pt idx="535">
                  <c:v>2290867.6527677765</c:v>
                </c:pt>
                <c:pt idx="536">
                  <c:v>2344228.8153199251</c:v>
                </c:pt>
                <c:pt idx="537">
                  <c:v>2398832.9190194933</c:v>
                </c:pt>
                <c:pt idx="538">
                  <c:v>2454708.915685033</c:v>
                </c:pt>
                <c:pt idx="539">
                  <c:v>2511886.431509587</c:v>
                </c:pt>
                <c:pt idx="540">
                  <c:v>2570395.782768866</c:v>
                </c:pt>
                <c:pt idx="541">
                  <c:v>2630267.9918953842</c:v>
                </c:pt>
              </c:numCache>
            </c:numRef>
          </c:xVal>
          <c:yVal>
            <c:numRef>
              <c:f>Loop_Modeling!$AT$19:$AT$560</c:f>
              <c:numCache>
                <c:formatCode>0.000</c:formatCode>
                <c:ptCount val="542"/>
                <c:pt idx="0">
                  <c:v>58.958912917821429</c:v>
                </c:pt>
                <c:pt idx="1">
                  <c:v>58.753997734262612</c:v>
                </c:pt>
                <c:pt idx="2">
                  <c:v>58.548857805858468</c:v>
                </c:pt>
                <c:pt idx="3">
                  <c:v>58.343483187050175</c:v>
                </c:pt>
                <c:pt idx="4">
                  <c:v>58.137863523127329</c:v>
                </c:pt>
                <c:pt idx="5">
                  <c:v>57.931988036295799</c:v>
                </c:pt>
                <c:pt idx="6">
                  <c:v>57.725845511549984</c:v>
                </c:pt>
                <c:pt idx="7">
                  <c:v>57.519424282377294</c:v>
                </c:pt>
                <c:pt idx="8">
                  <c:v>57.312712216325622</c:v>
                </c:pt>
                <c:pt idx="9">
                  <c:v>57.105696700470688</c:v>
                </c:pt>
                <c:pt idx="10">
                  <c:v>56.898364626821859</c:v>
                </c:pt>
                <c:pt idx="11">
                  <c:v>56.690702377713009</c:v>
                </c:pt>
                <c:pt idx="12">
                  <c:v>56.482695811227586</c:v>
                </c:pt>
                <c:pt idx="13">
                  <c:v>56.274330246713404</c:v>
                </c:pt>
                <c:pt idx="14">
                  <c:v>56.065590450449591</c:v>
                </c:pt>
                <c:pt idx="15">
                  <c:v>55.856460621531731</c:v>
                </c:pt>
                <c:pt idx="16">
                  <c:v>55.646924378050656</c:v>
                </c:pt>
                <c:pt idx="17">
                  <c:v>55.436964743645412</c:v>
                </c:pt>
                <c:pt idx="18">
                  <c:v>55.226564134517432</c:v>
                </c:pt>
                <c:pt idx="19">
                  <c:v>55.015704347003378</c:v>
                </c:pt>
                <c:pt idx="20">
                  <c:v>54.804366545808548</c:v>
                </c:pt>
                <c:pt idx="21">
                  <c:v>54.592531253011998</c:v>
                </c:pt>
                <c:pt idx="22">
                  <c:v>54.380178337965148</c:v>
                </c:pt>
                <c:pt idx="23">
                  <c:v>54.167287008208085</c:v>
                </c:pt>
                <c:pt idx="24">
                  <c:v>53.953835801544983</c:v>
                </c:pt>
                <c:pt idx="25">
                  <c:v>53.739802579418416</c:v>
                </c:pt>
                <c:pt idx="26">
                  <c:v>53.525164521741566</c:v>
                </c:pt>
                <c:pt idx="27">
                  <c:v>53.309898123346699</c:v>
                </c:pt>
                <c:pt idx="28">
                  <c:v>53.093979192222946</c:v>
                </c:pt>
                <c:pt idx="29">
                  <c:v>52.877382849720789</c:v>
                </c:pt>
                <c:pt idx="30">
                  <c:v>52.660083532910164</c:v>
                </c:pt>
                <c:pt idx="31">
                  <c:v>52.442054999285261</c:v>
                </c:pt>
                <c:pt idx="32">
                  <c:v>52.223270334016206</c:v>
                </c:pt>
                <c:pt idx="33">
                  <c:v>52.003701959952274</c:v>
                </c:pt>
                <c:pt idx="34">
                  <c:v>51.783321650586643</c:v>
                </c:pt>
                <c:pt idx="35">
                  <c:v>51.562100546196007</c:v>
                </c:pt>
                <c:pt idx="36">
                  <c:v>51.340009173368259</c:v>
                </c:pt>
                <c:pt idx="37">
                  <c:v>51.117017468136567</c:v>
                </c:pt>
                <c:pt idx="38">
                  <c:v>50.893094802928935</c:v>
                </c:pt>
                <c:pt idx="39">
                  <c:v>50.668210017546457</c:v>
                </c:pt>
                <c:pt idx="40">
                  <c:v>50.442331454372429</c:v>
                </c:pt>
                <c:pt idx="41">
                  <c:v>50.215426998007999</c:v>
                </c:pt>
                <c:pt idx="42">
                  <c:v>49.987464119518378</c:v>
                </c:pt>
                <c:pt idx="43">
                  <c:v>49.758409925460384</c:v>
                </c:pt>
                <c:pt idx="44">
                  <c:v>49.528231211844165</c:v>
                </c:pt>
                <c:pt idx="45">
                  <c:v>49.29689452316164</c:v>
                </c:pt>
                <c:pt idx="46">
                  <c:v>49.064366216591722</c:v>
                </c:pt>
                <c:pt idx="47">
                  <c:v>48.830612531463018</c:v>
                </c:pt>
                <c:pt idx="48">
                  <c:v>48.595599664026807</c:v>
                </c:pt>
                <c:pt idx="49">
                  <c:v>48.359293847556735</c:v>
                </c:pt>
                <c:pt idx="50">
                  <c:v>48.121661437754561</c:v>
                </c:pt>
                <c:pt idx="51">
                  <c:v>47.882669003401702</c:v>
                </c:pt>
                <c:pt idx="52">
                  <c:v>47.642283422149674</c:v>
                </c:pt>
                <c:pt idx="53">
                  <c:v>47.400471981297912</c:v>
                </c:pt>
                <c:pt idx="54">
                  <c:v>47.157202483356357</c:v>
                </c:pt>
                <c:pt idx="55">
                  <c:v>46.912443356138681</c:v>
                </c:pt>
                <c:pt idx="56">
                  <c:v>46.666163767078999</c:v>
                </c:pt>
                <c:pt idx="57">
                  <c:v>46.418333741410009</c:v>
                </c:pt>
                <c:pt idx="58">
                  <c:v>46.168924283785024</c:v>
                </c:pt>
                <c:pt idx="59">
                  <c:v>45.917907502872808</c:v>
                </c:pt>
                <c:pt idx="60">
                  <c:v>45.665256738399776</c:v>
                </c:pt>
                <c:pt idx="61">
                  <c:v>45.410946690060612</c:v>
                </c:pt>
                <c:pt idx="62">
                  <c:v>45.154953547673777</c:v>
                </c:pt>
                <c:pt idx="63">
                  <c:v>44.897255121906987</c:v>
                </c:pt>
                <c:pt idx="64">
                  <c:v>44.637830974862673</c:v>
                </c:pt>
                <c:pt idx="65">
                  <c:v>44.376662549772789</c:v>
                </c:pt>
                <c:pt idx="66">
                  <c:v>44.113733299027558</c:v>
                </c:pt>
                <c:pt idx="67">
                  <c:v>43.849028809736659</c:v>
                </c:pt>
                <c:pt idx="68">
                  <c:v>43.582536926009837</c:v>
                </c:pt>
                <c:pt idx="69">
                  <c:v>43.314247867136125</c:v>
                </c:pt>
                <c:pt idx="70">
                  <c:v>43.044154340843328</c:v>
                </c:pt>
                <c:pt idx="71">
                  <c:v>42.772251650832594</c:v>
                </c:pt>
                <c:pt idx="72">
                  <c:v>42.498537797801681</c:v>
                </c:pt>
                <c:pt idx="73">
                  <c:v>42.223013573201804</c:v>
                </c:pt>
                <c:pt idx="74">
                  <c:v>41.945682645013321</c:v>
                </c:pt>
                <c:pt idx="75">
                  <c:v>41.666551634870444</c:v>
                </c:pt>
                <c:pt idx="76">
                  <c:v>41.385630185923063</c:v>
                </c:pt>
                <c:pt idx="77">
                  <c:v>41.102931020887688</c:v>
                </c:pt>
                <c:pt idx="78">
                  <c:v>40.818469989806701</c:v>
                </c:pt>
                <c:pt idx="79">
                  <c:v>40.532266107112235</c:v>
                </c:pt>
                <c:pt idx="80">
                  <c:v>40.244341577670717</c:v>
                </c:pt>
                <c:pt idx="81">
                  <c:v>39.954721811564291</c:v>
                </c:pt>
                <c:pt idx="82">
                  <c:v>39.663435427451205</c:v>
                </c:pt>
                <c:pt idx="83">
                  <c:v>39.370514244431597</c:v>
                </c:pt>
                <c:pt idx="84">
                  <c:v>39.075993262427318</c:v>
                </c:pt>
                <c:pt idx="85">
                  <c:v>38.779910631166189</c:v>
                </c:pt>
                <c:pt idx="86">
                  <c:v>38.482307607939163</c:v>
                </c:pt>
                <c:pt idx="87">
                  <c:v>38.183228504369524</c:v>
                </c:pt>
                <c:pt idx="88">
                  <c:v>37.882720622503271</c:v>
                </c:pt>
                <c:pt idx="89">
                  <c:v>37.580834180586322</c:v>
                </c:pt>
                <c:pt idx="90">
                  <c:v>37.277622228952382</c:v>
                </c:pt>
                <c:pt idx="91">
                  <c:v>36.973140556484992</c:v>
                </c:pt>
                <c:pt idx="92">
                  <c:v>36.667447588159959</c:v>
                </c:pt>
                <c:pt idx="93">
                  <c:v>36.360604274199979</c:v>
                </c:pt>
                <c:pt idx="94">
                  <c:v>36.052673971395365</c:v>
                </c:pt>
                <c:pt idx="95">
                  <c:v>35.743722317159637</c:v>
                </c:pt>
                <c:pt idx="96">
                  <c:v>35.433817096892895</c:v>
                </c:pt>
                <c:pt idx="97">
                  <c:v>35.123028105225977</c:v>
                </c:pt>
                <c:pt idx="98">
                  <c:v>34.811427001712651</c:v>
                </c:pt>
                <c:pt idx="99">
                  <c:v>34.4990871615245</c:v>
                </c:pt>
                <c:pt idx="100">
                  <c:v>34.186083521687671</c:v>
                </c:pt>
                <c:pt idx="101">
                  <c:v>33.872492423383157</c:v>
                </c:pt>
                <c:pt idx="102">
                  <c:v>33.558391450808948</c:v>
                </c:pt>
                <c:pt idx="103">
                  <c:v>33.243859267082641</c:v>
                </c:pt>
                <c:pt idx="104">
                  <c:v>32.928975447640262</c:v>
                </c:pt>
                <c:pt idx="105">
                  <c:v>32.613820311566222</c:v>
                </c:pt>
                <c:pt idx="106">
                  <c:v>32.298474751269424</c:v>
                </c:pt>
                <c:pt idx="107">
                  <c:v>31.983020060904522</c:v>
                </c:pt>
                <c:pt idx="108">
                  <c:v>31.6675377639244</c:v>
                </c:pt>
                <c:pt idx="109">
                  <c:v>31.352109440136999</c:v>
                </c:pt>
                <c:pt idx="110">
                  <c:v>31.036816552639603</c:v>
                </c:pt>
                <c:pt idx="111">
                  <c:v>30.721740274994502</c:v>
                </c:pt>
                <c:pt idx="112">
                  <c:v>30.406961319021914</c:v>
                </c:pt>
                <c:pt idx="113">
                  <c:v>30.092559763583594</c:v>
                </c:pt>
                <c:pt idx="114">
                  <c:v>29.778614884750304</c:v>
                </c:pt>
                <c:pt idx="115">
                  <c:v>29.465204987755076</c:v>
                </c:pt>
                <c:pt idx="116">
                  <c:v>29.152407241154641</c:v>
                </c:pt>
                <c:pt idx="117">
                  <c:v>28.840297513640593</c:v>
                </c:pt>
                <c:pt idx="118">
                  <c:v>28.528950213963245</c:v>
                </c:pt>
                <c:pt idx="119">
                  <c:v>28.218438134453365</c:v>
                </c:pt>
                <c:pt idx="120">
                  <c:v>27.908832298648917</c:v>
                </c:pt>
                <c:pt idx="121">
                  <c:v>27.600201813553667</c:v>
                </c:pt>
                <c:pt idx="122">
                  <c:v>27.292613727072176</c:v>
                </c:pt>
                <c:pt idx="123">
                  <c:v>26.986132891181136</c:v>
                </c:pt>
                <c:pt idx="124">
                  <c:v>26.680821831406483</c:v>
                </c:pt>
                <c:pt idx="125">
                  <c:v>26.376740623179323</c:v>
                </c:pt>
                <c:pt idx="126">
                  <c:v>26.073946775643819</c:v>
                </c:pt>
                <c:pt idx="127">
                  <c:v>25.772495123479967</c:v>
                </c:pt>
                <c:pt idx="128">
                  <c:v>25.472437727290732</c:v>
                </c:pt>
                <c:pt idx="129">
                  <c:v>25.173823783073846</c:v>
                </c:pt>
                <c:pt idx="130">
                  <c:v>24.876699541275574</c:v>
                </c:pt>
                <c:pt idx="131">
                  <c:v>24.581108235873074</c:v>
                </c:pt>
                <c:pt idx="132">
                  <c:v>24.287090023892443</c:v>
                </c:pt>
                <c:pt idx="133">
                  <c:v>23.994681935708829</c:v>
                </c:pt>
                <c:pt idx="134">
                  <c:v>23.703917836415332</c:v>
                </c:pt>
                <c:pt idx="135">
                  <c:v>23.414828398475926</c:v>
                </c:pt>
                <c:pt idx="136">
                  <c:v>23.127441085804055</c:v>
                </c:pt>
                <c:pt idx="137">
                  <c:v>22.841780149331829</c:v>
                </c:pt>
                <c:pt idx="138">
                  <c:v>22.557866634049152</c:v>
                </c:pt>
                <c:pt idx="139">
                  <c:v>22.275718397409552</c:v>
                </c:pt>
                <c:pt idx="140">
                  <c:v>21.995350138919235</c:v>
                </c:pt>
                <c:pt idx="141">
                  <c:v>21.716773440633069</c:v>
                </c:pt>
                <c:pt idx="142">
                  <c:v>21.439996818210719</c:v>
                </c:pt>
                <c:pt idx="143">
                  <c:v>21.165025782097928</c:v>
                </c:pt>
                <c:pt idx="144">
                  <c:v>20.891862908332364</c:v>
                </c:pt>
                <c:pt idx="145">
                  <c:v>20.620507918400371</c:v>
                </c:pt>
                <c:pt idx="146">
                  <c:v>20.350957767512856</c:v>
                </c:pt>
                <c:pt idx="147">
                  <c:v>20.083206740615736</c:v>
                </c:pt>
                <c:pt idx="148">
                  <c:v>19.81724655540107</c:v>
                </c:pt>
                <c:pt idx="149">
                  <c:v>19.553066471556178</c:v>
                </c:pt>
                <c:pt idx="150">
                  <c:v>19.290653405452179</c:v>
                </c:pt>
                <c:pt idx="151">
                  <c:v>19.02999204946483</c:v>
                </c:pt>
                <c:pt idx="152">
                  <c:v>18.771064995102705</c:v>
                </c:pt>
                <c:pt idx="153">
                  <c:v>18.51385285912615</c:v>
                </c:pt>
                <c:pt idx="154">
                  <c:v>18.25833441184388</c:v>
                </c:pt>
                <c:pt idx="155">
                  <c:v>18.004486706795205</c:v>
                </c:pt>
                <c:pt idx="156">
                  <c:v>17.752285211045901</c:v>
                </c:pt>
                <c:pt idx="157">
                  <c:v>17.501703935363103</c:v>
                </c:pt>
                <c:pt idx="158">
                  <c:v>17.252715563566653</c:v>
                </c:pt>
                <c:pt idx="159">
                  <c:v>17.00529158039916</c:v>
                </c:pt>
                <c:pt idx="160">
                  <c:v>16.7594023973042</c:v>
                </c:pt>
                <c:pt idx="161">
                  <c:v>16.515017475551122</c:v>
                </c:pt>
                <c:pt idx="162">
                  <c:v>16.272105446197788</c:v>
                </c:pt>
                <c:pt idx="163">
                  <c:v>16.030634226435957</c:v>
                </c:pt>
                <c:pt idx="164">
                  <c:v>15.790571131921372</c:v>
                </c:pt>
                <c:pt idx="165">
                  <c:v>15.551882984741248</c:v>
                </c:pt>
                <c:pt idx="166">
                  <c:v>15.314536216730744</c:v>
                </c:pt>
                <c:pt idx="167">
                  <c:v>15.078496967899465</c:v>
                </c:pt>
                <c:pt idx="168">
                  <c:v>14.843731179781033</c:v>
                </c:pt>
                <c:pt idx="169">
                  <c:v>14.610204683569396</c:v>
                </c:pt>
                <c:pt idx="170">
                  <c:v>14.377883282948222</c:v>
                </c:pt>
                <c:pt idx="171">
                  <c:v>14.146732831565352</c:v>
                </c:pt>
                <c:pt idx="172">
                  <c:v>13.916719305143197</c:v>
                </c:pt>
                <c:pt idx="173">
                  <c:v>13.687808868252244</c:v>
                </c:pt>
                <c:pt idx="174">
                  <c:v>13.459967935808173</c:v>
                </c:pt>
                <c:pt idx="175">
                  <c:v>13.233163229382026</c:v>
                </c:pt>
                <c:pt idx="176">
                  <c:v>13.007361828438306</c:v>
                </c:pt>
                <c:pt idx="177">
                  <c:v>12.782531216641072</c:v>
                </c:pt>
                <c:pt idx="178">
                  <c:v>12.558639323381273</c:v>
                </c:pt>
                <c:pt idx="179">
                  <c:v>12.335654560703324</c:v>
                </c:pt>
                <c:pt idx="180">
                  <c:v>12.113545855811811</c:v>
                </c:pt>
                <c:pt idx="181">
                  <c:v>11.892282679358171</c:v>
                </c:pt>
                <c:pt idx="182">
                  <c:v>11.671835069708852</c:v>
                </c:pt>
                <c:pt idx="183">
                  <c:v>11.452173653403118</c:v>
                </c:pt>
                <c:pt idx="184">
                  <c:v>11.233269662014374</c:v>
                </c:pt>
                <c:pt idx="185">
                  <c:v>11.015094945623803</c:v>
                </c:pt>
                <c:pt idx="186">
                  <c:v>10.797621983119782</c:v>
                </c:pt>
                <c:pt idx="187">
                  <c:v>10.580823889531965</c:v>
                </c:pt>
                <c:pt idx="188">
                  <c:v>10.364674420603293</c:v>
                </c:pt>
                <c:pt idx="189">
                  <c:v>10.149147974802876</c:v>
                </c:pt>
                <c:pt idx="190">
                  <c:v>9.934219592970317</c:v>
                </c:pt>
                <c:pt idx="191">
                  <c:v>9.7198649557820804</c:v>
                </c:pt>
                <c:pt idx="192">
                  <c:v>9.5060603792175513</c:v>
                </c:pt>
                <c:pt idx="193">
                  <c:v>9.2927828081986412</c:v>
                </c:pt>
                <c:pt idx="194">
                  <c:v>9.0800098085641743</c:v>
                </c:pt>
                <c:pt idx="195">
                  <c:v>8.8677195575374608</c:v>
                </c:pt>
                <c:pt idx="196">
                  <c:v>8.6558908328306643</c:v>
                </c:pt>
                <c:pt idx="197">
                  <c:v>8.4445030005244277</c:v>
                </c:pt>
                <c:pt idx="198">
                  <c:v>8.2335360018531354</c:v>
                </c:pt>
                <c:pt idx="199">
                  <c:v>8.0229703390132094</c:v>
                </c:pt>
                <c:pt idx="200">
                  <c:v>7.8127870601083078</c:v>
                </c:pt>
                <c:pt idx="201">
                  <c:v>7.6029677433341369</c:v>
                </c:pt>
                <c:pt idx="202">
                  <c:v>7.3934944804970524</c:v>
                </c:pt>
                <c:pt idx="203">
                  <c:v>7.1843498599551845</c:v>
                </c:pt>
                <c:pt idx="204">
                  <c:v>6.9755169490607205</c:v>
                </c:pt>
                <c:pt idx="205">
                  <c:v>6.7669792761763459</c:v>
                </c:pt>
                <c:pt idx="206">
                  <c:v>6.5587208123310878</c:v>
                </c:pt>
                <c:pt idx="207">
                  <c:v>6.3507259525752948</c:v>
                </c:pt>
                <c:pt idx="208">
                  <c:v>6.1429794970865235</c:v>
                </c:pt>
                <c:pt idx="209">
                  <c:v>5.9354666320734717</c:v>
                </c:pt>
                <c:pt idx="210">
                  <c:v>5.7281729105206143</c:v>
                </c:pt>
                <c:pt idx="211">
                  <c:v>5.5210842328068708</c:v>
                </c:pt>
                <c:pt idx="212">
                  <c:v>5.314186827232886</c:v>
                </c:pt>
                <c:pt idx="213">
                  <c:v>5.107467230481114</c:v>
                </c:pt>
                <c:pt idx="214">
                  <c:v>4.9009122680323784</c:v>
                </c:pt>
                <c:pt idx="215">
                  <c:v>4.6945090345575471</c:v>
                </c:pt>
                <c:pt idx="216">
                  <c:v>4.4882448742992009</c:v>
                </c:pt>
                <c:pt idx="217">
                  <c:v>4.2821073614540701</c:v>
                </c:pt>
                <c:pt idx="218">
                  <c:v>4.0760842805675122</c:v>
                </c:pt>
                <c:pt idx="219">
                  <c:v>3.870163606941659</c:v>
                </c:pt>
                <c:pt idx="220">
                  <c:v>3.6643334870656203</c:v>
                </c:pt>
                <c:pt idx="221">
                  <c:v>3.458582219064199</c:v>
                </c:pt>
                <c:pt idx="222">
                  <c:v>3.2528982331680463</c:v>
                </c:pt>
                <c:pt idx="223">
                  <c:v>3.0472700721990753</c:v>
                </c:pt>
                <c:pt idx="224">
                  <c:v>2.8416863720693781</c:v>
                </c:pt>
                <c:pt idx="225">
                  <c:v>2.6361358422864996</c:v>
                </c:pt>
                <c:pt idx="226">
                  <c:v>2.4306072464588966</c:v>
                </c:pt>
                <c:pt idx="227">
                  <c:v>2.2250893827926701</c:v>
                </c:pt>
                <c:pt idx="228">
                  <c:v>2.0195710645720304</c:v>
                </c:pt>
                <c:pt idx="229">
                  <c:v>1.8140411006131378</c:v>
                </c:pt>
                <c:pt idx="230">
                  <c:v>1.6084882756822418</c:v>
                </c:pt>
                <c:pt idx="231">
                  <c:v>1.4029013308677323</c:v>
                </c:pt>
                <c:pt idx="232">
                  <c:v>1.197268943896777</c:v>
                </c:pt>
                <c:pt idx="233">
                  <c:v>0.99157970938434603</c:v>
                </c:pt>
                <c:pt idx="234">
                  <c:v>0.78582211900891707</c:v>
                </c:pt>
                <c:pt idx="235">
                  <c:v>0.57998454160138324</c:v>
                </c:pt>
                <c:pt idx="236">
                  <c:v>0.37405520314186791</c:v>
                </c:pt>
                <c:pt idx="237">
                  <c:v>0.16802216665487302</c:v>
                </c:pt>
                <c:pt idx="238">
                  <c:v>-3.8126688002197033E-2</c:v>
                </c:pt>
                <c:pt idx="239">
                  <c:v>-0.24440368446430127</c:v>
                </c:pt>
                <c:pt idx="240">
                  <c:v>-0.45082137029999692</c:v>
                </c:pt>
                <c:pt idx="241">
                  <c:v>-0.65739253757161786</c:v>
                </c:pt>
                <c:pt idx="242">
                  <c:v>-0.86413024351423573</c:v>
                </c:pt>
                <c:pt idx="243">
                  <c:v>-1.0710478313324141</c:v>
                </c:pt>
                <c:pt idx="244">
                  <c:v>-1.2781589511087057</c:v>
                </c:pt>
                <c:pt idx="245">
                  <c:v>-1.4854775808191369</c:v>
                </c:pt>
                <c:pt idx="246">
                  <c:v>-1.6930180474432968</c:v>
                </c:pt>
                <c:pt idx="247">
                  <c:v>-1.9007950481579581</c:v>
                </c:pt>
                <c:pt idx="248">
                  <c:v>-2.1088236715968862</c:v>
                </c:pt>
                <c:pt idx="249">
                  <c:v>-2.3171194191568159</c:v>
                </c:pt>
                <c:pt idx="250">
                  <c:v>-2.5256982263240508</c:v>
                </c:pt>
                <c:pt idx="251">
                  <c:v>-2.7345764839940716</c:v>
                </c:pt>
                <c:pt idx="252">
                  <c:v>-2.9437710597503659</c:v>
                </c:pt>
                <c:pt idx="253">
                  <c:v>-3.1532993190628718</c:v>
                </c:pt>
                <c:pt idx="254">
                  <c:v>-3.363179146363672</c:v>
                </c:pt>
                <c:pt idx="255">
                  <c:v>-3.5734289659479872</c:v>
                </c:pt>
                <c:pt idx="256">
                  <c:v>-3.7840677626461638</c:v>
                </c:pt>
                <c:pt idx="257">
                  <c:v>-3.9951151022035809</c:v>
                </c:pt>
                <c:pt idx="258">
                  <c:v>-4.2065911512997882</c:v>
                </c:pt>
                <c:pt idx="259">
                  <c:v>-4.4185166971298679</c:v>
                </c:pt>
                <c:pt idx="260">
                  <c:v>-4.630913166464838</c:v>
                </c:pt>
                <c:pt idx="261">
                  <c:v>-4.8438026441005491</c:v>
                </c:pt>
                <c:pt idx="262">
                  <c:v>-5.0572078905937321</c:v>
                </c:pt>
                <c:pt idx="263">
                  <c:v>-5.2711523591800304</c:v>
                </c:pt>
                <c:pt idx="264">
                  <c:v>-5.4856602117565494</c:v>
                </c:pt>
                <c:pt idx="265">
                  <c:v>-5.7007563338052281</c:v>
                </c:pt>
                <c:pt idx="266">
                  <c:v>-5.9164663481246293</c:v>
                </c:pt>
                <c:pt idx="267">
                  <c:v>-6.1328166272277782</c:v>
                </c:pt>
                <c:pt idx="268">
                  <c:v>-6.3498343042562846</c:v>
                </c:pt>
                <c:pt idx="269">
                  <c:v>-6.5675472822541989</c:v>
                </c:pt>
                <c:pt idx="270">
                  <c:v>-6.7859842416324501</c:v>
                </c:pt>
                <c:pt idx="271">
                  <c:v>-7.0051746456528985</c:v>
                </c:pt>
                <c:pt idx="272">
                  <c:v>-7.2251487437495596</c:v>
                </c:pt>
                <c:pt idx="273">
                  <c:v>-7.4459375725005135</c:v>
                </c:pt>
                <c:pt idx="274">
                  <c:v>-7.6675729540565127</c:v>
                </c:pt>
                <c:pt idx="275">
                  <c:v>-7.8900874918308714</c:v>
                </c:pt>
                <c:pt idx="276">
                  <c:v>-8.113514563248577</c:v>
                </c:pt>
                <c:pt idx="277">
                  <c:v>-8.3378883093514347</c:v>
                </c:pt>
                <c:pt idx="278">
                  <c:v>-8.5632436210584846</c:v>
                </c:pt>
                <c:pt idx="279">
                  <c:v>-8.7896161218776143</c:v>
                </c:pt>
                <c:pt idx="280">
                  <c:v>-9.0170421468713293</c:v>
                </c:pt>
                <c:pt idx="281">
                  <c:v>-9.2455587176836946</c:v>
                </c:pt>
                <c:pt idx="282">
                  <c:v>-9.4752035134453276</c:v>
                </c:pt>
                <c:pt idx="283">
                  <c:v>-9.7060148373791204</c:v>
                </c:pt>
                <c:pt idx="284">
                  <c:v>-9.9380315789511862</c:v>
                </c:pt>
                <c:pt idx="285">
                  <c:v>-10.171293171418403</c:v>
                </c:pt>
                <c:pt idx="286">
                  <c:v>-10.405839544652203</c:v>
                </c:pt>
                <c:pt idx="287">
                  <c:v>-10.641711073135397</c:v>
                </c:pt>
                <c:pt idx="288">
                  <c:v>-10.87894851905823</c:v>
                </c:pt>
                <c:pt idx="289">
                  <c:v>-11.117592970467676</c:v>
                </c:pt>
                <c:pt idx="290">
                  <c:v>-11.357685774460302</c:v>
                </c:pt>
                <c:pt idx="291">
                  <c:v>-11.59926846544078</c:v>
                </c:pt>
                <c:pt idx="292">
                  <c:v>-11.842382688513446</c:v>
                </c:pt>
                <c:pt idx="293">
                  <c:v>-12.087070118112241</c:v>
                </c:pt>
                <c:pt idx="294">
                  <c:v>-12.333372372025151</c:v>
                </c:pt>
                <c:pt idx="295">
                  <c:v>-12.581330921011611</c:v>
                </c:pt>
                <c:pt idx="296">
                  <c:v>-12.830986994267198</c:v>
                </c:pt>
                <c:pt idx="297">
                  <c:v>-13.082381481038396</c:v>
                </c:pt>
                <c:pt idx="298">
                  <c:v>-13.335554828743978</c:v>
                </c:pt>
                <c:pt idx="299">
                  <c:v>-13.590546938012418</c:v>
                </c:pt>
                <c:pt idx="300">
                  <c:v>-13.847397055098472</c:v>
                </c:pt>
                <c:pt idx="301">
                  <c:v>-14.106143662192</c:v>
                </c:pt>
                <c:pt idx="302">
                  <c:v>-14.366824366182682</c:v>
                </c:pt>
                <c:pt idx="303">
                  <c:v>-14.629475786491028</c:v>
                </c:pt>
                <c:pt idx="304">
                  <c:v>-14.894133442617878</c:v>
                </c:pt>
                <c:pt idx="305">
                  <c:v>-15.160831642103656</c:v>
                </c:pt>
                <c:pt idx="306">
                  <c:v>-15.429603369620617</c:v>
                </c:pt>
                <c:pt idx="307">
                  <c:v>-15.70048017794633</c:v>
                </c:pt>
                <c:pt idx="308">
                  <c:v>-15.973492081588592</c:v>
                </c:pt>
                <c:pt idx="309">
                  <c:v>-16.248667453838387</c:v>
                </c:pt>
                <c:pt idx="310">
                  <c:v>-16.526032928032144</c:v>
                </c:pt>
                <c:pt idx="311">
                  <c:v>-16.805613303798047</c:v>
                </c:pt>
                <c:pt idx="312">
                  <c:v>-17.087431459043422</c:v>
                </c:pt>
                <c:pt idx="313">
                  <c:v>-17.371508268415209</c:v>
                </c:pt>
                <c:pt idx="314">
                  <c:v>-17.65786252892844</c:v>
                </c:pt>
                <c:pt idx="315">
                  <c:v>-17.946510893416821</c:v>
                </c:pt>
                <c:pt idx="316">
                  <c:v>-18.237467812400126</c:v>
                </c:pt>
                <c:pt idx="317">
                  <c:v>-18.530745484905211</c:v>
                </c:pt>
                <c:pt idx="318">
                  <c:v>-18.826353818705407</c:v>
                </c:pt>
                <c:pt idx="319">
                  <c:v>-19.124300400365865</c:v>
                </c:pt>
                <c:pt idx="320">
                  <c:v>-19.424590475402621</c:v>
                </c:pt>
                <c:pt idx="321">
                  <c:v>-19.727226938770595</c:v>
                </c:pt>
                <c:pt idx="322">
                  <c:v>-20.032210335812621</c:v>
                </c:pt>
                <c:pt idx="323">
                  <c:v>-20.339538873701478</c:v>
                </c:pt>
                <c:pt idx="324">
                  <c:v>-20.64920844332255</c:v>
                </c:pt>
                <c:pt idx="325">
                  <c:v>-20.961212651443777</c:v>
                </c:pt>
                <c:pt idx="326">
                  <c:v>-21.275542862939297</c:v>
                </c:pt>
                <c:pt idx="327">
                  <c:v>-21.592188252740343</c:v>
                </c:pt>
                <c:pt idx="328">
                  <c:v>-21.911135867111344</c:v>
                </c:pt>
                <c:pt idx="329">
                  <c:v>-22.232370693770797</c:v>
                </c:pt>
                <c:pt idx="330">
                  <c:v>-22.555875740312192</c:v>
                </c:pt>
                <c:pt idx="331">
                  <c:v>-22.88163212031915</c:v>
                </c:pt>
                <c:pt idx="332">
                  <c:v>-23.209619146518236</c:v>
                </c:pt>
                <c:pt idx="333">
                  <c:v>-23.53981443027287</c:v>
                </c:pt>
                <c:pt idx="334">
                  <c:v>-23.872193986687293</c:v>
                </c:pt>
                <c:pt idx="335">
                  <c:v>-24.206732344569581</c:v>
                </c:pt>
                <c:pt idx="336">
                  <c:v>-24.54340266048737</c:v>
                </c:pt>
                <c:pt idx="337">
                  <c:v>-24.882176836147536</c:v>
                </c:pt>
                <c:pt idx="338">
                  <c:v>-25.223025638336939</c:v>
                </c:pt>
                <c:pt idx="339">
                  <c:v>-25.565918820671975</c:v>
                </c:pt>
                <c:pt idx="340">
                  <c:v>-25.910825246428889</c:v>
                </c:pt>
                <c:pt idx="341">
                  <c:v>-26.257713011753793</c:v>
                </c:pt>
                <c:pt idx="342">
                  <c:v>-26.606549568583489</c:v>
                </c:pt>
                <c:pt idx="343">
                  <c:v>-26.957301846652058</c:v>
                </c:pt>
                <c:pt idx="344">
                  <c:v>-27.309936373997076</c:v>
                </c:pt>
                <c:pt idx="345">
                  <c:v>-27.664419395429931</c:v>
                </c:pt>
                <c:pt idx="346">
                  <c:v>-28.02071698848231</c:v>
                </c:pt>
                <c:pt idx="347">
                  <c:v>-28.378795176393336</c:v>
                </c:pt>
                <c:pt idx="348">
                  <c:v>-28.738620037753627</c:v>
                </c:pt>
                <c:pt idx="349">
                  <c:v>-29.100157812473867</c:v>
                </c:pt>
                <c:pt idx="350">
                  <c:v>-29.463375003799641</c:v>
                </c:pt>
                <c:pt idx="351">
                  <c:v>-29.828238476137496</c:v>
                </c:pt>
                <c:pt idx="352">
                  <c:v>-30.19471554851744</c:v>
                </c:pt>
                <c:pt idx="353">
                  <c:v>-30.562774083547851</c:v>
                </c:pt>
                <c:pt idx="354">
                  <c:v>-30.932382571776557</c:v>
                </c:pt>
                <c:pt idx="355">
                  <c:v>-31.303510211399814</c:v>
                </c:pt>
                <c:pt idx="356">
                  <c:v>-31.676126983305707</c:v>
                </c:pt>
                <c:pt idx="357">
                  <c:v>-32.050203721468115</c:v>
                </c:pt>
                <c:pt idx="358">
                  <c:v>-32.425712178737427</c:v>
                </c:pt>
                <c:pt idx="359">
                  <c:v>-32.802625088099859</c:v>
                </c:pt>
                <c:pt idx="360">
                  <c:v>-33.180916219501256</c:v>
                </c:pt>
                <c:pt idx="361">
                  <c:v>-33.560560432349142</c:v>
                </c:pt>
                <c:pt idx="362">
                  <c:v>-33.941533723818594</c:v>
                </c:pt>
                <c:pt idx="363">
                  <c:v>-34.323813273108634</c:v>
                </c:pt>
                <c:pt idx="364">
                  <c:v>-34.707377481790374</c:v>
                </c:pt>
                <c:pt idx="365">
                  <c:v>-35.092206010411594</c:v>
                </c:pt>
                <c:pt idx="366">
                  <c:v>-35.478279811506908</c:v>
                </c:pt>
                <c:pt idx="367">
                  <c:v>-35.865581159178809</c:v>
                </c:pt>
                <c:pt idx="368">
                  <c:v>-36.254093675400192</c:v>
                </c:pt>
                <c:pt idx="369">
                  <c:v>-36.643802353195703</c:v>
                </c:pt>
                <c:pt idx="370">
                  <c:v>-37.03469357684228</c:v>
                </c:pt>
                <c:pt idx="371">
                  <c:v>-37.426755139231311</c:v>
                </c:pt>
                <c:pt idx="372">
                  <c:v>-37.819976256516256</c:v>
                </c:pt>
                <c:pt idx="373">
                  <c:v>-38.214347580166013</c:v>
                </c:pt>
                <c:pt idx="374">
                  <c:v>-38.609861206526794</c:v>
                </c:pt>
                <c:pt idx="375">
                  <c:v>-39.006510683986413</c:v>
                </c:pt>
                <c:pt idx="376">
                  <c:v>-39.404291017817101</c:v>
                </c:pt>
                <c:pt idx="377">
                  <c:v>-39.803198672762612</c:v>
                </c:pt>
                <c:pt idx="378">
                  <c:v>-40.203231573417597</c:v>
                </c:pt>
                <c:pt idx="379">
                  <c:v>-40.604389102433409</c:v>
                </c:pt>
                <c:pt idx="380">
                  <c:v>-41.006672096569005</c:v>
                </c:pt>
                <c:pt idx="381">
                  <c:v>-41.410082840590974</c:v>
                </c:pt>
                <c:pt idx="382">
                  <c:v>-41.814625059011462</c:v>
                </c:pt>
                <c:pt idx="383">
                  <c:v>-42.220303905638389</c:v>
                </c:pt>
                <c:pt idx="384">
                  <c:v>-42.627125950899305</c:v>
                </c:pt>
                <c:pt idx="385">
                  <c:v>-43.035099166882759</c:v>
                </c:pt>
                <c:pt idx="386">
                  <c:v>-43.444232910037492</c:v>
                </c:pt>
                <c:pt idx="387">
                  <c:v>-43.85453790144652</c:v>
                </c:pt>
                <c:pt idx="388">
                  <c:v>-44.266026204593871</c:v>
                </c:pt>
                <c:pt idx="389">
                  <c:v>-44.678711200523765</c:v>
                </c:pt>
                <c:pt idx="390">
                  <c:v>-45.092607560290858</c:v>
                </c:pt>
                <c:pt idx="391">
                  <c:v>-45.507731214589256</c:v>
                </c:pt>
                <c:pt idx="392">
                  <c:v>-45.924099320446778</c:v>
                </c:pt>
                <c:pt idx="393">
                  <c:v>-46.341730224865572</c:v>
                </c:pt>
                <c:pt idx="394">
                  <c:v>-46.760643425291988</c:v>
                </c:pt>
                <c:pt idx="395">
                  <c:v>-47.180859526797818</c:v>
                </c:pt>
                <c:pt idx="396">
                  <c:v>-47.602400195859417</c:v>
                </c:pt>
                <c:pt idx="397">
                  <c:v>-48.025288110627855</c:v>
                </c:pt>
                <c:pt idx="398">
                  <c:v>-48.4495469075895</c:v>
                </c:pt>
                <c:pt idx="399">
                  <c:v>-48.875201124528019</c:v>
                </c:pt>
                <c:pt idx="400">
                  <c:v>-49.302276139713811</c:v>
                </c:pt>
                <c:pt idx="401">
                  <c:v>-49.730798107258096</c:v>
                </c:pt>
                <c:pt idx="402">
                  <c:v>-50.160793888591556</c:v>
                </c:pt>
                <c:pt idx="403">
                  <c:v>-50.592290980044588</c:v>
                </c:pt>
                <c:pt idx="404">
                  <c:v>-51.025317436532276</c:v>
                </c:pt>
                <c:pt idx="405">
                  <c:v>-51.459901791368495</c:v>
                </c:pt>
                <c:pt idx="406">
                  <c:v>-51.896072972266211</c:v>
                </c:pt>
                <c:pt idx="407">
                  <c:v>-52.333860213604027</c:v>
                </c:pt>
                <c:pt idx="408">
                  <c:v>-52.773292965076735</c:v>
                </c:pt>
                <c:pt idx="409">
                  <c:v>-53.214400796875871</c:v>
                </c:pt>
                <c:pt idx="410">
                  <c:v>-53.657213301580356</c:v>
                </c:pt>
                <c:pt idx="411">
                  <c:v>-54.101759992975985</c:v>
                </c:pt>
                <c:pt idx="412">
                  <c:v>-54.548070202051633</c:v>
                </c:pt>
                <c:pt idx="413">
                  <c:v>-54.996172970461799</c:v>
                </c:pt>
                <c:pt idx="414">
                  <c:v>-55.446096941775082</c:v>
                </c:pt>
                <c:pt idx="415">
                  <c:v>-55.897870250865282</c:v>
                </c:pt>
                <c:pt idx="416">
                  <c:v>-56.351520411836553</c:v>
                </c:pt>
                <c:pt idx="417">
                  <c:v>-56.807074204900175</c:v>
                </c:pt>
                <c:pt idx="418">
                  <c:v>-57.264557562655447</c:v>
                </c:pt>
                <c:pt idx="419">
                  <c:v>-57.723995456252922</c:v>
                </c:pt>
                <c:pt idx="420">
                  <c:v>-58.185411781939351</c:v>
                </c:pt>
                <c:pt idx="421">
                  <c:v>-58.648829248506765</c:v>
                </c:pt>
                <c:pt idx="422">
                  <c:v>-59.114269266184124</c:v>
                </c:pt>
                <c:pt idx="423">
                  <c:v>-59.581751837521715</c:v>
                </c:pt>
                <c:pt idx="424">
                  <c:v>-60.051295450825094</c:v>
                </c:pt>
                <c:pt idx="425">
                  <c:v>-60.522916976700571</c:v>
                </c:pt>
                <c:pt idx="426">
                  <c:v>-60.99663156826729</c:v>
                </c:pt>
                <c:pt idx="427">
                  <c:v>-61.472452565588696</c:v>
                </c:pt>
                <c:pt idx="428">
                  <c:v>-61.950391404855068</c:v>
                </c:pt>
                <c:pt idx="429">
                  <c:v>-62.430457532837671</c:v>
                </c:pt>
                <c:pt idx="430">
                  <c:v>-62.912658327101489</c:v>
                </c:pt>
                <c:pt idx="431">
                  <c:v>-63.39699902244115</c:v>
                </c:pt>
                <c:pt idx="432">
                  <c:v>-63.883482643962395</c:v>
                </c:pt>
                <c:pt idx="433">
                  <c:v>-64.372109947193238</c:v>
                </c:pt>
                <c:pt idx="434">
                  <c:v>-64.862879365563259</c:v>
                </c:pt>
                <c:pt idx="435">
                  <c:v>-65.355786965537433</c:v>
                </c:pt>
                <c:pt idx="436">
                  <c:v>-65.850826409637818</c:v>
                </c:pt>
                <c:pt idx="437">
                  <c:v>-66.347988927529599</c:v>
                </c:pt>
                <c:pt idx="438">
                  <c:v>-66.847263295285927</c:v>
                </c:pt>
                <c:pt idx="439">
                  <c:v>-67.348635822884347</c:v>
                </c:pt>
                <c:pt idx="440">
                  <c:v>-67.852090349925987</c:v>
                </c:pt>
                <c:pt idx="441">
                  <c:v>-68.357608249503869</c:v>
                </c:pt>
                <c:pt idx="442">
                  <c:v>-68.865168440080168</c:v>
                </c:pt>
                <c:pt idx="443">
                  <c:v>-69.374747405178184</c:v>
                </c:pt>
                <c:pt idx="444">
                  <c:v>-69.886319220626348</c:v>
                </c:pt>
                <c:pt idx="445">
                  <c:v>-70.399855589041465</c:v>
                </c:pt>
                <c:pt idx="446">
                  <c:v>-70.915325881180934</c:v>
                </c:pt>
                <c:pt idx="447">
                  <c:v>-71.432697183748658</c:v>
                </c:pt>
                <c:pt idx="448">
                  <c:v>-71.951934353193877</c:v>
                </c:pt>
                <c:pt idx="449">
                  <c:v>-72.473000075006496</c:v>
                </c:pt>
                <c:pt idx="450">
                  <c:v>-72.995854927979181</c:v>
                </c:pt>
                <c:pt idx="451">
                  <c:v>-73.520457452883889</c:v>
                </c:pt>
                <c:pt idx="452">
                  <c:v>-74.046764224993169</c:v>
                </c:pt>
                <c:pt idx="453">
                  <c:v>-74.57472992986267</c:v>
                </c:pt>
                <c:pt idx="454">
                  <c:v>-75.10430744179304</c:v>
                </c:pt>
                <c:pt idx="455">
                  <c:v>-75.63544790438857</c:v>
                </c:pt>
                <c:pt idx="456">
                  <c:v>-76.1681008126411</c:v>
                </c:pt>
                <c:pt idx="457">
                  <c:v>-76.702214095987472</c:v>
                </c:pt>
                <c:pt idx="458">
                  <c:v>-77.237734201806802</c:v>
                </c:pt>
                <c:pt idx="459">
                  <c:v>-77.774606178857738</c:v>
                </c:pt>
                <c:pt idx="460">
                  <c:v>-78.312773760184072</c:v>
                </c:pt>
                <c:pt idx="461">
                  <c:v>-78.852179445059974</c:v>
                </c:pt>
                <c:pt idx="462">
                  <c:v>-79.392764579584124</c:v>
                </c:pt>
                <c:pt idx="463">
                  <c:v>-79.934469435580468</c:v>
                </c:pt>
                <c:pt idx="464">
                  <c:v>-80.477233287508042</c:v>
                </c:pt>
                <c:pt idx="465">
                  <c:v>-81.020994487131688</c:v>
                </c:pt>
                <c:pt idx="466">
                  <c:v>-81.565690535761362</c:v>
                </c:pt>
                <c:pt idx="467">
                  <c:v>-82.111258153908068</c:v>
                </c:pt>
                <c:pt idx="468">
                  <c:v>-82.657633348267353</c:v>
                </c:pt>
                <c:pt idx="469">
                  <c:v>-83.204751475981709</c:v>
                </c:pt>
                <c:pt idx="470">
                  <c:v>-83.752547306188561</c:v>
                </c:pt>
                <c:pt idx="471">
                  <c:v>-84.300955078904025</c:v>
                </c:pt>
                <c:pt idx="472">
                  <c:v>-84.849908561337713</c:v>
                </c:pt>
                <c:pt idx="473">
                  <c:v>-85.399341101780237</c:v>
                </c:pt>
                <c:pt idx="474">
                  <c:v>-85.949185681238376</c:v>
                </c:pt>
                <c:pt idx="475">
                  <c:v>-86.499374963034015</c:v>
                </c:pt>
                <c:pt idx="476">
                  <c:v>-87.049841340614066</c:v>
                </c:pt>
                <c:pt idx="477">
                  <c:v>-87.600516983845836</c:v>
                </c:pt>
                <c:pt idx="478">
                  <c:v>-88.151333884101319</c:v>
                </c:pt>
                <c:pt idx="479">
                  <c:v>-88.702223898449745</c:v>
                </c:pt>
                <c:pt idx="480">
                  <c:v>-89.253118793300416</c:v>
                </c:pt>
                <c:pt idx="481">
                  <c:v>-89.803950287842213</c:v>
                </c:pt>
                <c:pt idx="482">
                  <c:v>-90.354650097645219</c:v>
                </c:pt>
                <c:pt idx="483">
                  <c:v>-90.905149978779335</c:v>
                </c:pt>
                <c:pt idx="484">
                  <c:v>-91.455381772817205</c:v>
                </c:pt>
                <c:pt idx="485">
                  <c:v>-92.005277453072551</c:v>
                </c:pt>
                <c:pt idx="486">
                  <c:v>-92.554769172420421</c:v>
                </c:pt>
                <c:pt idx="487">
                  <c:v>-93.103789313028216</c:v>
                </c:pt>
                <c:pt idx="488">
                  <c:v>-93.652270538305316</c:v>
                </c:pt>
                <c:pt idx="489">
                  <c:v>-94.200145847359124</c:v>
                </c:pt>
                <c:pt idx="490">
                  <c:v>-94.747348632209878</c:v>
                </c:pt>
                <c:pt idx="491">
                  <c:v>-95.293812737989612</c:v>
                </c:pt>
                <c:pt idx="492">
                  <c:v>-95.839472526306281</c:v>
                </c:pt>
                <c:pt idx="493">
                  <c:v>-96.384262941918706</c:v>
                </c:pt>
                <c:pt idx="494">
                  <c:v>-96.928119582816834</c:v>
                </c:pt>
                <c:pt idx="495">
                  <c:v>-97.470978773755462</c:v>
                </c:pt>
                <c:pt idx="496">
                  <c:v>-98.012777643237072</c:v>
                </c:pt>
                <c:pt idx="497">
                  <c:v>-98.553454203881898</c:v>
                </c:pt>
                <c:pt idx="498">
                  <c:v>-99.092947436069707</c:v>
                </c:pt>
                <c:pt idx="499">
                  <c:v>-99.631197374673661</c:v>
                </c:pt>
                <c:pt idx="500">
                  <c:v>-100.16814519865332</c:v>
                </c:pt>
                <c:pt idx="501">
                  <c:v>-100.70373332320499</c:v>
                </c:pt>
                <c:pt idx="502">
                  <c:v>-101.23790549411645</c:v>
                </c:pt>
                <c:pt idx="503">
                  <c:v>-101.77060688390696</c:v>
                </c:pt>
                <c:pt idx="504">
                  <c:v>-102.30178418928291</c:v>
                </c:pt>
                <c:pt idx="505">
                  <c:v>-102.83138572938168</c:v>
                </c:pt>
                <c:pt idx="506">
                  <c:v>-103.35936154423003</c:v>
                </c:pt>
                <c:pt idx="507">
                  <c:v>-103.88566349279688</c:v>
                </c:pt>
                <c:pt idx="508">
                  <c:v>-104.41024534998422</c:v>
                </c:pt>
                <c:pt idx="509">
                  <c:v>-104.9330629018648</c:v>
                </c:pt>
                <c:pt idx="510">
                  <c:v>-105.45407403845411</c:v>
                </c:pt>
                <c:pt idx="511">
                  <c:v>-105.97323884328634</c:v>
                </c:pt>
                <c:pt idx="512">
                  <c:v>-106.49051967905808</c:v>
                </c:pt>
                <c:pt idx="513">
                  <c:v>-107.00588126860319</c:v>
                </c:pt>
                <c:pt idx="514">
                  <c:v>-107.51929077047856</c:v>
                </c:pt>
                <c:pt idx="515">
                  <c:v>-108.03071784845672</c:v>
                </c:pt>
                <c:pt idx="516">
                  <c:v>-108.54013473425778</c:v>
                </c:pt>
                <c:pt idx="517">
                  <c:v>-109.04751628289188</c:v>
                </c:pt>
                <c:pt idx="518">
                  <c:v>-109.55284002003289</c:v>
                </c:pt>
                <c:pt idx="519">
                  <c:v>-110.05608618090677</c:v>
                </c:pt>
                <c:pt idx="520">
                  <c:v>-110.55723774024194</c:v>
                </c:pt>
                <c:pt idx="521">
                  <c:v>-111.0562804329048</c:v>
                </c:pt>
                <c:pt idx="522">
                  <c:v>-111.55320276492409</c:v>
                </c:pt>
                <c:pt idx="523">
                  <c:v>-112.0479960146919</c:v>
                </c:pt>
                <c:pt idx="524">
                  <c:v>-112.5406542242205</c:v>
                </c:pt>
                <c:pt idx="525">
                  <c:v>-113.03117418041849</c:v>
                </c:pt>
                <c:pt idx="526">
                  <c:v>-113.51955538645045</c:v>
                </c:pt>
                <c:pt idx="527">
                  <c:v>-114.00580002332647</c:v>
                </c:pt>
                <c:pt idx="528">
                  <c:v>-114.48991290196277</c:v>
                </c:pt>
                <c:pt idx="529">
                  <c:v>-114.97190140603401</c:v>
                </c:pt>
                <c:pt idx="530">
                  <c:v>-115.45177542602283</c:v>
                </c:pt>
                <c:pt idx="531">
                  <c:v>-115.92954728494477</c:v>
                </c:pt>
                <c:pt idx="532">
                  <c:v>-116.40523165629149</c:v>
                </c:pt>
                <c:pt idx="533">
                  <c:v>-116.87884547479825</c:v>
                </c:pt>
                <c:pt idx="534">
                  <c:v>-117.35040784069056</c:v>
                </c:pt>
                <c:pt idx="535">
                  <c:v>-117.81993991810603</c:v>
                </c:pt>
                <c:pt idx="536">
                  <c:v>-118.28746482841916</c:v>
                </c:pt>
                <c:pt idx="537">
                  <c:v>-118.75300753922417</c:v>
                </c:pt>
                <c:pt idx="538">
                  <c:v>-119.21659474973774</c:v>
                </c:pt>
                <c:pt idx="539">
                  <c:v>-119.67825477338982</c:v>
                </c:pt>
                <c:pt idx="540">
                  <c:v>-120.13801741836977</c:v>
                </c:pt>
                <c:pt idx="541">
                  <c:v>-120.5959138668757</c:v>
                </c:pt>
              </c:numCache>
            </c:numRef>
          </c:yVal>
          <c:smooth val="1"/>
          <c:extLst>
            <c:ext xmlns:c16="http://schemas.microsoft.com/office/drawing/2014/chart" uri="{C3380CC4-5D6E-409C-BE32-E72D297353CC}">
              <c16:uniqueId val="{00000000-2470-421C-8EF3-DF4BAC2DF802}"/>
            </c:ext>
          </c:extLst>
        </c:ser>
        <c:ser>
          <c:idx val="2"/>
          <c:order val="2"/>
          <c:tx>
            <c:v>f_LP</c:v>
          </c:tx>
          <c:spPr>
            <a:ln w="38100" cmpd="sng"/>
          </c:spPr>
          <c:marker>
            <c:symbol val="x"/>
            <c:size val="7"/>
            <c:spPr>
              <a:noFill/>
            </c:spPr>
          </c:marker>
          <c:dPt>
            <c:idx val="0"/>
            <c:marker>
              <c:spPr>
                <a:noFill/>
                <a:ln w="19050">
                  <a:solidFill>
                    <a:schemeClr val="tx1"/>
                  </a:solidFill>
                </a:ln>
              </c:spPr>
            </c:marker>
            <c:bubble3D val="0"/>
            <c:extLst>
              <c:ext xmlns:c16="http://schemas.microsoft.com/office/drawing/2014/chart" uri="{C3380CC4-5D6E-409C-BE32-E72D297353CC}">
                <c16:uniqueId val="{00000001-2470-421C-8EF3-DF4BAC2DF802}"/>
              </c:ext>
            </c:extLst>
          </c:dPt>
          <c:dLbls>
            <c:dLbl>
              <c:idx val="0"/>
              <c:tx>
                <c:rich>
                  <a:bodyPr/>
                  <a:lstStyle/>
                  <a:p>
                    <a:r>
                      <a:rPr lang="en-US" sz="1100" b="1"/>
                      <a:t>f</a:t>
                    </a:r>
                    <a:r>
                      <a:rPr lang="en-US" sz="1100" b="1" baseline="-25000"/>
                      <a:t>LP</a:t>
                    </a:r>
                    <a:endParaRPr lang="en-US" b="1" baseline="-25000"/>
                  </a:p>
                </c:rich>
              </c:tx>
              <c:dLblPos val="b"/>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470-421C-8EF3-DF4BAC2DF802}"/>
                </c:ext>
              </c:extLst>
            </c:dLbl>
            <c:spPr>
              <a:noFill/>
              <a:ln>
                <a:noFill/>
              </a:ln>
              <a:effectLst/>
            </c:spPr>
            <c:dLblPos val="b"/>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Loop_Modeling!$O$11</c:f>
              <c:numCache>
                <c:formatCode>0</c:formatCode>
                <c:ptCount val="1"/>
                <c:pt idx="0">
                  <c:v>62.708803424702658</c:v>
                </c:pt>
              </c:numCache>
            </c:numRef>
          </c:xVal>
          <c:yVal>
            <c:numRef>
              <c:f>Loop_Modeling!$AT$11</c:f>
              <c:numCache>
                <c:formatCode>0.000</c:formatCode>
                <c:ptCount val="1"/>
                <c:pt idx="0">
                  <c:v>40.608894486781395</c:v>
                </c:pt>
              </c:numCache>
            </c:numRef>
          </c:yVal>
          <c:smooth val="0"/>
          <c:extLst>
            <c:ext xmlns:c16="http://schemas.microsoft.com/office/drawing/2014/chart" uri="{C3380CC4-5D6E-409C-BE32-E72D297353CC}">
              <c16:uniqueId val="{00000002-2470-421C-8EF3-DF4BAC2DF802}"/>
            </c:ext>
          </c:extLst>
        </c:ser>
        <c:ser>
          <c:idx val="3"/>
          <c:order val="3"/>
          <c:tx>
            <c:v>fz_rhp</c:v>
          </c:tx>
          <c:spPr>
            <a:ln>
              <a:solidFill>
                <a:schemeClr val="tx1"/>
              </a:solidFill>
            </a:ln>
          </c:spPr>
          <c:marker>
            <c:symbol val="circle"/>
            <c:size val="7"/>
            <c:spPr>
              <a:noFill/>
              <a:ln w="19050">
                <a:solidFill>
                  <a:schemeClr val="tx1"/>
                </a:solidFill>
              </a:ln>
            </c:spPr>
          </c:marker>
          <c:dLbls>
            <c:dLbl>
              <c:idx val="0"/>
              <c:layout>
                <c:manualLayout>
                  <c:x val="8.0501209561423519E-3"/>
                  <c:y val="-1.5493667278504181E-2"/>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2470-421C-8EF3-DF4BAC2DF802}"/>
                </c:ext>
              </c:extLst>
            </c:dLbl>
            <c:spPr>
              <a:noFill/>
              <a:ln>
                <a:noFill/>
              </a:ln>
              <a:effectLst/>
            </c:spPr>
            <c:txPr>
              <a:bodyPr/>
              <a:lstStyle/>
              <a:p>
                <a:pPr>
                  <a:defRPr b="1"/>
                </a:pPr>
                <a:endParaRPr lang="en-US"/>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Loop_Modeling!$O$9</c:f>
              <c:numCache>
                <c:formatCode>0</c:formatCode>
                <c:ptCount val="1"/>
                <c:pt idx="0">
                  <c:v>213153.9416409313</c:v>
                </c:pt>
              </c:numCache>
            </c:numRef>
          </c:xVal>
          <c:yVal>
            <c:numRef>
              <c:f>Loop_Modeling!$AT$9</c:f>
              <c:numCache>
                <c:formatCode>0.000</c:formatCode>
                <c:ptCount val="1"/>
                <c:pt idx="0">
                  <c:v>-63.819795380958496</c:v>
                </c:pt>
              </c:numCache>
            </c:numRef>
          </c:yVal>
          <c:smooth val="1"/>
          <c:extLst>
            <c:ext xmlns:c16="http://schemas.microsoft.com/office/drawing/2014/chart" uri="{C3380CC4-5D6E-409C-BE32-E72D297353CC}">
              <c16:uniqueId val="{00000004-2470-421C-8EF3-DF4BAC2DF802}"/>
            </c:ext>
          </c:extLst>
        </c:ser>
        <c:ser>
          <c:idx val="4"/>
          <c:order val="4"/>
          <c:tx>
            <c:v>f_esr</c:v>
          </c:tx>
          <c:spPr>
            <a:ln>
              <a:noFill/>
            </a:ln>
          </c:spPr>
          <c:marker>
            <c:symbol val="circle"/>
            <c:size val="5"/>
            <c:spPr>
              <a:noFill/>
              <a:ln w="19050">
                <a:solidFill>
                  <a:schemeClr val="tx1"/>
                </a:solidFill>
              </a:ln>
            </c:spPr>
          </c:marker>
          <c:dPt>
            <c:idx val="0"/>
            <c:marker>
              <c:symbol val="circle"/>
              <c:size val="7"/>
            </c:marker>
            <c:bubble3D val="0"/>
            <c:extLst>
              <c:ext xmlns:c16="http://schemas.microsoft.com/office/drawing/2014/chart" uri="{C3380CC4-5D6E-409C-BE32-E72D297353CC}">
                <c16:uniqueId val="{00000005-2470-421C-8EF3-DF4BAC2DF802}"/>
              </c:ext>
            </c:extLst>
          </c:dPt>
          <c:dLbls>
            <c:dLbl>
              <c:idx val="0"/>
              <c:layout>
                <c:manualLayout>
                  <c:x val="-5.990474489899654E-2"/>
                  <c:y val="-1.2457193490087108E-2"/>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5-2470-421C-8EF3-DF4BAC2DF802}"/>
                </c:ext>
              </c:extLst>
            </c:dLbl>
            <c:spPr>
              <a:noFill/>
              <a:ln>
                <a:noFill/>
              </a:ln>
              <a:effectLst/>
            </c:spPr>
            <c:txPr>
              <a:bodyPr/>
              <a:lstStyle/>
              <a:p>
                <a:pPr>
                  <a:defRPr b="1"/>
                </a:pPr>
                <a:endParaRPr lang="en-US"/>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Loop_Modeling!$O$10</c:f>
              <c:numCache>
                <c:formatCode>0</c:formatCode>
                <c:ptCount val="1"/>
                <c:pt idx="0">
                  <c:v>1693137.6924669717</c:v>
                </c:pt>
              </c:numCache>
            </c:numRef>
          </c:xVal>
          <c:yVal>
            <c:numRef>
              <c:f>Loop_Modeling!$AT$10</c:f>
              <c:numCache>
                <c:formatCode>0.000</c:formatCode>
                <c:ptCount val="1"/>
                <c:pt idx="0">
                  <c:v>-111.48833998858908</c:v>
                </c:pt>
              </c:numCache>
            </c:numRef>
          </c:yVal>
          <c:smooth val="1"/>
          <c:extLst>
            <c:ext xmlns:c16="http://schemas.microsoft.com/office/drawing/2014/chart" uri="{C3380CC4-5D6E-409C-BE32-E72D297353CC}">
              <c16:uniqueId val="{00000006-2470-421C-8EF3-DF4BAC2DF802}"/>
            </c:ext>
          </c:extLst>
        </c:ser>
        <c:ser>
          <c:idx val="5"/>
          <c:order val="5"/>
          <c:tx>
            <c:v>fz_ea</c:v>
          </c:tx>
          <c:marker>
            <c:symbol val="circle"/>
            <c:size val="8"/>
            <c:spPr>
              <a:noFill/>
              <a:ln w="25400">
                <a:solidFill>
                  <a:srgbClr val="00B0F0"/>
                </a:solidFill>
              </a:ln>
            </c:spPr>
          </c:marker>
          <c:dLbls>
            <c:dLbl>
              <c:idx val="0"/>
              <c:spPr/>
              <c:txPr>
                <a:bodyPr/>
                <a:lstStyle/>
                <a:p>
                  <a:pPr>
                    <a:defRPr b="1"/>
                  </a:pPr>
                  <a:endParaRPr lang="en-US"/>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2470-421C-8EF3-DF4BAC2DF8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Loop_Modeling!$O$12</c:f>
              <c:numCache>
                <c:formatCode>General</c:formatCode>
                <c:ptCount val="1"/>
                <c:pt idx="0">
                  <c:v>234.05138689984608</c:v>
                </c:pt>
              </c:numCache>
            </c:numRef>
          </c:xVal>
          <c:yVal>
            <c:numRef>
              <c:f>Loop_Modeling!$AT$12</c:f>
              <c:numCache>
                <c:formatCode>0.000</c:formatCode>
                <c:ptCount val="1"/>
                <c:pt idx="0">
                  <c:v>23.147180679443803</c:v>
                </c:pt>
              </c:numCache>
            </c:numRef>
          </c:yVal>
          <c:smooth val="1"/>
          <c:extLst>
            <c:ext xmlns:c16="http://schemas.microsoft.com/office/drawing/2014/chart" uri="{C3380CC4-5D6E-409C-BE32-E72D297353CC}">
              <c16:uniqueId val="{00000008-2470-421C-8EF3-DF4BAC2DF802}"/>
            </c:ext>
          </c:extLst>
        </c:ser>
        <c:ser>
          <c:idx val="6"/>
          <c:order val="6"/>
          <c:tx>
            <c:v>fp_ea</c:v>
          </c:tx>
          <c:marker>
            <c:symbol val="x"/>
            <c:size val="7"/>
            <c:spPr>
              <a:noFill/>
              <a:ln w="25400">
                <a:solidFill>
                  <a:srgbClr val="00B0F0"/>
                </a:solidFill>
              </a:ln>
            </c:spPr>
          </c:marker>
          <c:dLbls>
            <c:dLbl>
              <c:idx val="0"/>
              <c:layout>
                <c:manualLayout>
                  <c:x val="-5.3995739911983948E-2"/>
                  <c:y val="3.3712510009006609E-2"/>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9-2470-421C-8EF3-DF4BAC2DF802}"/>
                </c:ext>
              </c:extLst>
            </c:dLbl>
            <c:spPr>
              <a:noFill/>
              <a:ln>
                <a:noFill/>
              </a:ln>
              <a:effectLst/>
            </c:spPr>
            <c:txPr>
              <a:bodyPr/>
              <a:lstStyle/>
              <a:p>
                <a:pPr>
                  <a:defRPr b="1"/>
                </a:pPr>
                <a:endParaRPr lang="en-US"/>
              </a:p>
            </c:txPr>
            <c:dLblPos val="b"/>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Loop_Modeling!$O$13</c:f>
              <c:numCache>
                <c:formatCode>General</c:formatCode>
                <c:ptCount val="1"/>
                <c:pt idx="0">
                  <c:v>16149.545696089379</c:v>
                </c:pt>
              </c:numCache>
            </c:numRef>
          </c:xVal>
          <c:yVal>
            <c:numRef>
              <c:f>Loop_Modeling!$AT$13</c:f>
              <c:numCache>
                <c:formatCode>0.000</c:formatCode>
                <c:ptCount val="1"/>
                <c:pt idx="0">
                  <c:v>-19.369170329787131</c:v>
                </c:pt>
              </c:numCache>
            </c:numRef>
          </c:yVal>
          <c:smooth val="1"/>
          <c:extLst>
            <c:ext xmlns:c16="http://schemas.microsoft.com/office/drawing/2014/chart" uri="{C3380CC4-5D6E-409C-BE32-E72D297353CC}">
              <c16:uniqueId val="{0000000A-2470-421C-8EF3-DF4BAC2DF802}"/>
            </c:ext>
          </c:extLst>
        </c:ser>
        <c:dLbls>
          <c:showLegendKey val="0"/>
          <c:showVal val="0"/>
          <c:showCatName val="0"/>
          <c:showSerName val="0"/>
          <c:showPercent val="0"/>
          <c:showBubbleSize val="0"/>
        </c:dLbls>
        <c:axId val="144369152"/>
        <c:axId val="144371072"/>
      </c:scatterChart>
      <c:scatterChart>
        <c:scatterStyle val="smoothMarker"/>
        <c:varyColors val="0"/>
        <c:ser>
          <c:idx val="1"/>
          <c:order val="1"/>
          <c:tx>
            <c:v>Phase (deg)</c:v>
          </c:tx>
          <c:spPr>
            <a:ln w="28575">
              <a:solidFill>
                <a:schemeClr val="tx1">
                  <a:lumMod val="95000"/>
                  <a:lumOff val="5000"/>
                </a:schemeClr>
              </a:solidFill>
              <a:prstDash val="sysDash"/>
            </a:ln>
          </c:spPr>
          <c:marker>
            <c:symbol val="none"/>
          </c:marker>
          <c:xVal>
            <c:numRef>
              <c:f>Loop_Modeling!$O$19:$O$560</c:f>
              <c:numCache>
                <c:formatCode>0.00</c:formatCode>
                <c:ptCount val="542"/>
                <c:pt idx="0">
                  <c:v>10.232929922807543</c:v>
                </c:pt>
                <c:pt idx="1">
                  <c:v>10.471285480509</c:v>
                </c:pt>
                <c:pt idx="2">
                  <c:v>10.715193052376069</c:v>
                </c:pt>
                <c:pt idx="3">
                  <c:v>10.964781961431854</c:v>
                </c:pt>
                <c:pt idx="4">
                  <c:v>11.220184543019636</c:v>
                </c:pt>
                <c:pt idx="5">
                  <c:v>11.481536214968834</c:v>
                </c:pt>
                <c:pt idx="6">
                  <c:v>11.748975549395301</c:v>
                </c:pt>
                <c:pt idx="7">
                  <c:v>12.022644346174133</c:v>
                </c:pt>
                <c:pt idx="8">
                  <c:v>12.302687708123818</c:v>
                </c:pt>
                <c:pt idx="9">
                  <c:v>12.58925411794168</c:v>
                </c:pt>
                <c:pt idx="10">
                  <c:v>12.882495516931346</c:v>
                </c:pt>
                <c:pt idx="11">
                  <c:v>13.182567385564075</c:v>
                </c:pt>
                <c:pt idx="12">
                  <c:v>13.489628825916535</c:v>
                </c:pt>
                <c:pt idx="13">
                  <c:v>13.803842646028857</c:v>
                </c:pt>
                <c:pt idx="14">
                  <c:v>14.125375446227544</c:v>
                </c:pt>
                <c:pt idx="15">
                  <c:v>14.454397707459275</c:v>
                </c:pt>
                <c:pt idx="16">
                  <c:v>14.791083881682074</c:v>
                </c:pt>
                <c:pt idx="17">
                  <c:v>15.135612484362087</c:v>
                </c:pt>
                <c:pt idx="18">
                  <c:v>15.488166189124817</c:v>
                </c:pt>
                <c:pt idx="19">
                  <c:v>15.848931924611136</c:v>
                </c:pt>
                <c:pt idx="20">
                  <c:v>16.218100973589298</c:v>
                </c:pt>
                <c:pt idx="21">
                  <c:v>16.595869074375614</c:v>
                </c:pt>
                <c:pt idx="22">
                  <c:v>16.982436524617448</c:v>
                </c:pt>
                <c:pt idx="23">
                  <c:v>17.378008287493756</c:v>
                </c:pt>
                <c:pt idx="24">
                  <c:v>17.782794100389236</c:v>
                </c:pt>
                <c:pt idx="25">
                  <c:v>18.197008586099841</c:v>
                </c:pt>
                <c:pt idx="26">
                  <c:v>18.62087136662868</c:v>
                </c:pt>
                <c:pt idx="27">
                  <c:v>19.054607179632477</c:v>
                </c:pt>
                <c:pt idx="28">
                  <c:v>19.498445997580465</c:v>
                </c:pt>
                <c:pt idx="29">
                  <c:v>19.952623149688804</c:v>
                </c:pt>
                <c:pt idx="30">
                  <c:v>20.4173794466953</c:v>
                </c:pt>
                <c:pt idx="31">
                  <c:v>20.8929613085404</c:v>
                </c:pt>
                <c:pt idx="32">
                  <c:v>21.379620895022335</c:v>
                </c:pt>
                <c:pt idx="33">
                  <c:v>21.877616239495538</c:v>
                </c:pt>
                <c:pt idx="34">
                  <c:v>22.387211385683404</c:v>
                </c:pt>
                <c:pt idx="35">
                  <c:v>22.908676527677727</c:v>
                </c:pt>
                <c:pt idx="36">
                  <c:v>23.442288153199236</c:v>
                </c:pt>
                <c:pt idx="37">
                  <c:v>23.988329190194907</c:v>
                </c:pt>
                <c:pt idx="38">
                  <c:v>24.547089156850316</c:v>
                </c:pt>
                <c:pt idx="39">
                  <c:v>25.118864315095799</c:v>
                </c:pt>
                <c:pt idx="40">
                  <c:v>25.703957827688647</c:v>
                </c:pt>
                <c:pt idx="41">
                  <c:v>26.302679918953825</c:v>
                </c:pt>
                <c:pt idx="42">
                  <c:v>26.915348039269158</c:v>
                </c:pt>
                <c:pt idx="43">
                  <c:v>27.542287033381665</c:v>
                </c:pt>
                <c:pt idx="44">
                  <c:v>28.183829312644548</c:v>
                </c:pt>
                <c:pt idx="45">
                  <c:v>28.840315031266066</c:v>
                </c:pt>
                <c:pt idx="46">
                  <c:v>29.512092266663863</c:v>
                </c:pt>
                <c:pt idx="47">
                  <c:v>30.199517204020164</c:v>
                </c:pt>
                <c:pt idx="48">
                  <c:v>30.902954325135919</c:v>
                </c:pt>
                <c:pt idx="49">
                  <c:v>31.622776601683803</c:v>
                </c:pt>
                <c:pt idx="50">
                  <c:v>32.359365692962832</c:v>
                </c:pt>
                <c:pt idx="51">
                  <c:v>33.113112148259127</c:v>
                </c:pt>
                <c:pt idx="52">
                  <c:v>33.884415613920268</c:v>
                </c:pt>
                <c:pt idx="53">
                  <c:v>34.67368504525318</c:v>
                </c:pt>
                <c:pt idx="54">
                  <c:v>35.481338923357555</c:v>
                </c:pt>
                <c:pt idx="55">
                  <c:v>36.307805477010156</c:v>
                </c:pt>
                <c:pt idx="56">
                  <c:v>37.15352290971726</c:v>
                </c:pt>
                <c:pt idx="57">
                  <c:v>38.018939632056139</c:v>
                </c:pt>
                <c:pt idx="58">
                  <c:v>38.904514499428053</c:v>
                </c:pt>
                <c:pt idx="59">
                  <c:v>39.810717055349755</c:v>
                </c:pt>
                <c:pt idx="60">
                  <c:v>40.738027780411279</c:v>
                </c:pt>
                <c:pt idx="61">
                  <c:v>41.686938347033561</c:v>
                </c:pt>
                <c:pt idx="62">
                  <c:v>42.657951880159267</c:v>
                </c:pt>
                <c:pt idx="63">
                  <c:v>43.651583224016633</c:v>
                </c:pt>
                <c:pt idx="64">
                  <c:v>44.668359215096324</c:v>
                </c:pt>
                <c:pt idx="65">
                  <c:v>45.70881896148753</c:v>
                </c:pt>
                <c:pt idx="66">
                  <c:v>46.773514128719818</c:v>
                </c:pt>
                <c:pt idx="67">
                  <c:v>47.863009232263877</c:v>
                </c:pt>
                <c:pt idx="68">
                  <c:v>48.977881936844632</c:v>
                </c:pt>
                <c:pt idx="69">
                  <c:v>50.118723362727238</c:v>
                </c:pt>
                <c:pt idx="70">
                  <c:v>51.28613839913649</c:v>
                </c:pt>
                <c:pt idx="71">
                  <c:v>52.480746024977286</c:v>
                </c:pt>
                <c:pt idx="72">
                  <c:v>53.703179637025293</c:v>
                </c:pt>
                <c:pt idx="73">
                  <c:v>54.95408738576247</c:v>
                </c:pt>
                <c:pt idx="74">
                  <c:v>56.234132519034915</c:v>
                </c:pt>
                <c:pt idx="75">
                  <c:v>57.543993733715695</c:v>
                </c:pt>
                <c:pt idx="76">
                  <c:v>58.884365535558949</c:v>
                </c:pt>
                <c:pt idx="77">
                  <c:v>60.255958607435822</c:v>
                </c:pt>
                <c:pt idx="78">
                  <c:v>61.659500186148257</c:v>
                </c:pt>
                <c:pt idx="79">
                  <c:v>63.095734448019364</c:v>
                </c:pt>
                <c:pt idx="80">
                  <c:v>64.565422903465588</c:v>
                </c:pt>
                <c:pt idx="81">
                  <c:v>66.069344800759623</c:v>
                </c:pt>
                <c:pt idx="82">
                  <c:v>67.60829753919819</c:v>
                </c:pt>
                <c:pt idx="83">
                  <c:v>69.183097091893657</c:v>
                </c:pt>
                <c:pt idx="84">
                  <c:v>70.794578438413865</c:v>
                </c:pt>
                <c:pt idx="85">
                  <c:v>72.443596007499011</c:v>
                </c:pt>
                <c:pt idx="86">
                  <c:v>74.131024130091816</c:v>
                </c:pt>
                <c:pt idx="87">
                  <c:v>75.857757502918361</c:v>
                </c:pt>
                <c:pt idx="88">
                  <c:v>77.624711662869217</c:v>
                </c:pt>
                <c:pt idx="89">
                  <c:v>79.432823472428197</c:v>
                </c:pt>
                <c:pt idx="90">
                  <c:v>81.283051616409963</c:v>
                </c:pt>
                <c:pt idx="91">
                  <c:v>83.176377110267126</c:v>
                </c:pt>
                <c:pt idx="92">
                  <c:v>85.113803820237734</c:v>
                </c:pt>
                <c:pt idx="93">
                  <c:v>87.096358995608071</c:v>
                </c:pt>
                <c:pt idx="94">
                  <c:v>89.125093813374562</c:v>
                </c:pt>
                <c:pt idx="95">
                  <c:v>91.201083935590972</c:v>
                </c:pt>
                <c:pt idx="96">
                  <c:v>93.325430079699174</c:v>
                </c:pt>
                <c:pt idx="97">
                  <c:v>95.499258602143655</c:v>
                </c:pt>
                <c:pt idx="98">
                  <c:v>97.723722095581124</c:v>
                </c:pt>
                <c:pt idx="99">
                  <c:v>100</c:v>
                </c:pt>
                <c:pt idx="100">
                  <c:v>102.32929922807544</c:v>
                </c:pt>
                <c:pt idx="101">
                  <c:v>104.71285480508998</c:v>
                </c:pt>
                <c:pt idx="102">
                  <c:v>107.15193052376065</c:v>
                </c:pt>
                <c:pt idx="103">
                  <c:v>109.64781961431861</c:v>
                </c:pt>
                <c:pt idx="104">
                  <c:v>112.20184543019634</c:v>
                </c:pt>
                <c:pt idx="105">
                  <c:v>114.81536214968835</c:v>
                </c:pt>
                <c:pt idx="106">
                  <c:v>117.48975549395293</c:v>
                </c:pt>
                <c:pt idx="107">
                  <c:v>120.22644346174135</c:v>
                </c:pt>
                <c:pt idx="108">
                  <c:v>123.02687708123821</c:v>
                </c:pt>
                <c:pt idx="109">
                  <c:v>125.89254117941677</c:v>
                </c:pt>
                <c:pt idx="110">
                  <c:v>128.82495516931343</c:v>
                </c:pt>
                <c:pt idx="111">
                  <c:v>131.82567385564084</c:v>
                </c:pt>
                <c:pt idx="112">
                  <c:v>134.89628825916537</c:v>
                </c:pt>
                <c:pt idx="113">
                  <c:v>138.0384264602886</c:v>
                </c:pt>
                <c:pt idx="114">
                  <c:v>141.25375446227542</c:v>
                </c:pt>
                <c:pt idx="115">
                  <c:v>144.54397707459285</c:v>
                </c:pt>
                <c:pt idx="116">
                  <c:v>147.91083881682084</c:v>
                </c:pt>
                <c:pt idx="117">
                  <c:v>151.3561248436209</c:v>
                </c:pt>
                <c:pt idx="118">
                  <c:v>154.8816618912482</c:v>
                </c:pt>
                <c:pt idx="119">
                  <c:v>158.48931924611153</c:v>
                </c:pt>
                <c:pt idx="120">
                  <c:v>162.18100973589304</c:v>
                </c:pt>
                <c:pt idx="121">
                  <c:v>165.95869074375622</c:v>
                </c:pt>
                <c:pt idx="122">
                  <c:v>169.82436524617444</c:v>
                </c:pt>
                <c:pt idx="123">
                  <c:v>173.78008287493768</c:v>
                </c:pt>
                <c:pt idx="124">
                  <c:v>177.82794100389242</c:v>
                </c:pt>
                <c:pt idx="125">
                  <c:v>181.9700858609983</c:v>
                </c:pt>
                <c:pt idx="126">
                  <c:v>186.20871366628685</c:v>
                </c:pt>
                <c:pt idx="127">
                  <c:v>190.54607179632498</c:v>
                </c:pt>
                <c:pt idx="128">
                  <c:v>194.98445997580458</c:v>
                </c:pt>
                <c:pt idx="129">
                  <c:v>199.52623149688802</c:v>
                </c:pt>
                <c:pt idx="130">
                  <c:v>204.17379446695315</c:v>
                </c:pt>
                <c:pt idx="131">
                  <c:v>208.92961308540396</c:v>
                </c:pt>
                <c:pt idx="132">
                  <c:v>213.79620895022339</c:v>
                </c:pt>
                <c:pt idx="133">
                  <c:v>218.77616239495524</c:v>
                </c:pt>
                <c:pt idx="134">
                  <c:v>223.87211385683412</c:v>
                </c:pt>
                <c:pt idx="135">
                  <c:v>229.08676527677744</c:v>
                </c:pt>
                <c:pt idx="136">
                  <c:v>234.42288153199232</c:v>
                </c:pt>
                <c:pt idx="137">
                  <c:v>239.88329190194912</c:v>
                </c:pt>
                <c:pt idx="138">
                  <c:v>245.4708915685033</c:v>
                </c:pt>
                <c:pt idx="139">
                  <c:v>251.18864315095806</c:v>
                </c:pt>
                <c:pt idx="140">
                  <c:v>257.03957827688663</c:v>
                </c:pt>
                <c:pt idx="141">
                  <c:v>263.02679918953817</c:v>
                </c:pt>
                <c:pt idx="142">
                  <c:v>269.15348039269179</c:v>
                </c:pt>
                <c:pt idx="143">
                  <c:v>275.42287033381683</c:v>
                </c:pt>
                <c:pt idx="144">
                  <c:v>281.83829312644554</c:v>
                </c:pt>
                <c:pt idx="145">
                  <c:v>288.40315031266073</c:v>
                </c:pt>
                <c:pt idx="146">
                  <c:v>295.12092266663871</c:v>
                </c:pt>
                <c:pt idx="147">
                  <c:v>301.99517204020168</c:v>
                </c:pt>
                <c:pt idx="148">
                  <c:v>309.02954325135937</c:v>
                </c:pt>
                <c:pt idx="149">
                  <c:v>316.22776601683825</c:v>
                </c:pt>
                <c:pt idx="150">
                  <c:v>323.59365692962825</c:v>
                </c:pt>
                <c:pt idx="151">
                  <c:v>331.13112148259137</c:v>
                </c:pt>
                <c:pt idx="152">
                  <c:v>338.84415613920277</c:v>
                </c:pt>
                <c:pt idx="153">
                  <c:v>346.73685045253183</c:v>
                </c:pt>
                <c:pt idx="154">
                  <c:v>354.81338923357566</c:v>
                </c:pt>
                <c:pt idx="155">
                  <c:v>363.07805477010152</c:v>
                </c:pt>
                <c:pt idx="156">
                  <c:v>371.53522909717265</c:v>
                </c:pt>
                <c:pt idx="157">
                  <c:v>380.18939632056163</c:v>
                </c:pt>
                <c:pt idx="158">
                  <c:v>389.04514499428063</c:v>
                </c:pt>
                <c:pt idx="159">
                  <c:v>398.10717055349761</c:v>
                </c:pt>
                <c:pt idx="160">
                  <c:v>407.38027780411272</c:v>
                </c:pt>
                <c:pt idx="161">
                  <c:v>416.86938347033572</c:v>
                </c:pt>
                <c:pt idx="162">
                  <c:v>426.57951880159294</c:v>
                </c:pt>
                <c:pt idx="163">
                  <c:v>436.51583224016622</c:v>
                </c:pt>
                <c:pt idx="164">
                  <c:v>446.68359215096331</c:v>
                </c:pt>
                <c:pt idx="165">
                  <c:v>457.0881896148756</c:v>
                </c:pt>
                <c:pt idx="166">
                  <c:v>467.7351412871983</c:v>
                </c:pt>
                <c:pt idx="167">
                  <c:v>478.63009232263886</c:v>
                </c:pt>
                <c:pt idx="168">
                  <c:v>489.77881936844625</c:v>
                </c:pt>
                <c:pt idx="169">
                  <c:v>501.18723362727269</c:v>
                </c:pt>
                <c:pt idx="170">
                  <c:v>512.86138399136519</c:v>
                </c:pt>
                <c:pt idx="171">
                  <c:v>524.80746024977248</c:v>
                </c:pt>
                <c:pt idx="172">
                  <c:v>537.03179637025301</c:v>
                </c:pt>
                <c:pt idx="173">
                  <c:v>549.54087385762534</c:v>
                </c:pt>
                <c:pt idx="174">
                  <c:v>562.34132519034927</c:v>
                </c:pt>
                <c:pt idx="175">
                  <c:v>575.43993733715706</c:v>
                </c:pt>
                <c:pt idx="176">
                  <c:v>588.84365535558959</c:v>
                </c:pt>
                <c:pt idx="177">
                  <c:v>602.55958607435832</c:v>
                </c:pt>
                <c:pt idx="178">
                  <c:v>616.59500186148273</c:v>
                </c:pt>
                <c:pt idx="179">
                  <c:v>630.95734448019323</c:v>
                </c:pt>
                <c:pt idx="180">
                  <c:v>645.65422903465594</c:v>
                </c:pt>
                <c:pt idx="181">
                  <c:v>660.69344800759643</c:v>
                </c:pt>
                <c:pt idx="182">
                  <c:v>676.08297539198213</c:v>
                </c:pt>
                <c:pt idx="183">
                  <c:v>691.83097091893671</c:v>
                </c:pt>
                <c:pt idx="184">
                  <c:v>707.94578438413873</c:v>
                </c:pt>
                <c:pt idx="185">
                  <c:v>724.43596007499025</c:v>
                </c:pt>
                <c:pt idx="186">
                  <c:v>741.31024130091828</c:v>
                </c:pt>
                <c:pt idx="187">
                  <c:v>758.57757502918378</c:v>
                </c:pt>
                <c:pt idx="188">
                  <c:v>776.24711662869231</c:v>
                </c:pt>
                <c:pt idx="189">
                  <c:v>794.32823472428208</c:v>
                </c:pt>
                <c:pt idx="190">
                  <c:v>812.83051616409978</c:v>
                </c:pt>
                <c:pt idx="191">
                  <c:v>831.7637711026714</c:v>
                </c:pt>
                <c:pt idx="192">
                  <c:v>851.13803820237763</c:v>
                </c:pt>
                <c:pt idx="193">
                  <c:v>870.96358995608091</c:v>
                </c:pt>
                <c:pt idx="194">
                  <c:v>891.25093813374656</c:v>
                </c:pt>
                <c:pt idx="195">
                  <c:v>912.01083935590987</c:v>
                </c:pt>
                <c:pt idx="196">
                  <c:v>933.25430079699106</c:v>
                </c:pt>
                <c:pt idx="197">
                  <c:v>954.99258602143675</c:v>
                </c:pt>
                <c:pt idx="198">
                  <c:v>977.23722095581138</c:v>
                </c:pt>
                <c:pt idx="199">
                  <c:v>1000</c:v>
                </c:pt>
                <c:pt idx="200">
                  <c:v>1023.2929922807547</c:v>
                </c:pt>
                <c:pt idx="201">
                  <c:v>1047.1285480509</c:v>
                </c:pt>
                <c:pt idx="202">
                  <c:v>1071.5193052376069</c:v>
                </c:pt>
                <c:pt idx="203">
                  <c:v>1096.4781961431863</c:v>
                </c:pt>
                <c:pt idx="204">
                  <c:v>1122.0184543019636</c:v>
                </c:pt>
                <c:pt idx="205">
                  <c:v>1148.1536214968839</c:v>
                </c:pt>
                <c:pt idx="206">
                  <c:v>1174.8975549395295</c:v>
                </c:pt>
                <c:pt idx="207">
                  <c:v>1202.2644346174138</c:v>
                </c:pt>
                <c:pt idx="208">
                  <c:v>1230.2687708123824</c:v>
                </c:pt>
                <c:pt idx="209">
                  <c:v>1258.925411794168</c:v>
                </c:pt>
                <c:pt idx="210">
                  <c:v>1288.2495516931347</c:v>
                </c:pt>
                <c:pt idx="211">
                  <c:v>1318.2567385564089</c:v>
                </c:pt>
                <c:pt idx="212">
                  <c:v>1348.9628825916541</c:v>
                </c:pt>
                <c:pt idx="213">
                  <c:v>1380.3842646028863</c:v>
                </c:pt>
                <c:pt idx="214">
                  <c:v>1412.5375446227545</c:v>
                </c:pt>
                <c:pt idx="215">
                  <c:v>1445.4397707459289</c:v>
                </c:pt>
                <c:pt idx="216">
                  <c:v>1479.1083881682086</c:v>
                </c:pt>
                <c:pt idx="217">
                  <c:v>1513.5612484362093</c:v>
                </c:pt>
                <c:pt idx="218">
                  <c:v>1548.8166189124822</c:v>
                </c:pt>
                <c:pt idx="219">
                  <c:v>1584.8931924611156</c:v>
                </c:pt>
                <c:pt idx="220">
                  <c:v>1621.8100973589308</c:v>
                </c:pt>
                <c:pt idx="221">
                  <c:v>1659.5869074375626</c:v>
                </c:pt>
                <c:pt idx="222">
                  <c:v>1698.2436524617447</c:v>
                </c:pt>
                <c:pt idx="223">
                  <c:v>1737.8008287493772</c:v>
                </c:pt>
                <c:pt idx="224">
                  <c:v>1778.2794100389244</c:v>
                </c:pt>
                <c:pt idx="225">
                  <c:v>1819.7008586099832</c:v>
                </c:pt>
                <c:pt idx="226">
                  <c:v>1862.0871366628687</c:v>
                </c:pt>
                <c:pt idx="227">
                  <c:v>1905.4607179632501</c:v>
                </c:pt>
                <c:pt idx="228">
                  <c:v>1949.8445997580463</c:v>
                </c:pt>
                <c:pt idx="229">
                  <c:v>1995.2623149688804</c:v>
                </c:pt>
                <c:pt idx="230">
                  <c:v>2041.7379446695318</c:v>
                </c:pt>
                <c:pt idx="231">
                  <c:v>2089.2961308540398</c:v>
                </c:pt>
                <c:pt idx="232">
                  <c:v>2137.9620895022344</c:v>
                </c:pt>
                <c:pt idx="233">
                  <c:v>2187.7616239495528</c:v>
                </c:pt>
                <c:pt idx="234">
                  <c:v>2238.7211385683418</c:v>
                </c:pt>
                <c:pt idx="235">
                  <c:v>2290.8676527677749</c:v>
                </c:pt>
                <c:pt idx="236">
                  <c:v>2344.2288153199238</c:v>
                </c:pt>
                <c:pt idx="237">
                  <c:v>2398.8329190194918</c:v>
                </c:pt>
                <c:pt idx="238">
                  <c:v>2454.7089156850338</c:v>
                </c:pt>
                <c:pt idx="239">
                  <c:v>2511.8864315095811</c:v>
                </c:pt>
                <c:pt idx="240">
                  <c:v>2570.3957827688669</c:v>
                </c:pt>
                <c:pt idx="241">
                  <c:v>2630.2679918953822</c:v>
                </c:pt>
                <c:pt idx="242">
                  <c:v>2691.5348039269184</c:v>
                </c:pt>
                <c:pt idx="243">
                  <c:v>2754.228703338169</c:v>
                </c:pt>
                <c:pt idx="244">
                  <c:v>2818.3829312644561</c:v>
                </c:pt>
                <c:pt idx="245">
                  <c:v>2884.0315031266077</c:v>
                </c:pt>
                <c:pt idx="246">
                  <c:v>2951.2092266663876</c:v>
                </c:pt>
                <c:pt idx="247">
                  <c:v>3019.9517204020176</c:v>
                </c:pt>
                <c:pt idx="248">
                  <c:v>3090.295432513592</c:v>
                </c:pt>
                <c:pt idx="249">
                  <c:v>3162.2776601683804</c:v>
                </c:pt>
                <c:pt idx="250">
                  <c:v>3235.9365692962833</c:v>
                </c:pt>
                <c:pt idx="251">
                  <c:v>3311.3112148259115</c:v>
                </c:pt>
                <c:pt idx="252">
                  <c:v>3388.4415613920314</c:v>
                </c:pt>
                <c:pt idx="253">
                  <c:v>3467.3685045253224</c:v>
                </c:pt>
                <c:pt idx="254">
                  <c:v>3548.1338923357539</c:v>
                </c:pt>
                <c:pt idx="255">
                  <c:v>3630.7805477010188</c:v>
                </c:pt>
                <c:pt idx="256">
                  <c:v>3715.352290971724</c:v>
                </c:pt>
                <c:pt idx="257">
                  <c:v>3801.8939632056172</c:v>
                </c:pt>
                <c:pt idx="258">
                  <c:v>3890.451449942811</c:v>
                </c:pt>
                <c:pt idx="259">
                  <c:v>3981.0717055349769</c:v>
                </c:pt>
                <c:pt idx="260">
                  <c:v>4073.8027780411317</c:v>
                </c:pt>
                <c:pt idx="261">
                  <c:v>4168.6938347033583</c:v>
                </c:pt>
                <c:pt idx="262">
                  <c:v>4265.7951880159299</c:v>
                </c:pt>
                <c:pt idx="263">
                  <c:v>4365.1583224016631</c:v>
                </c:pt>
                <c:pt idx="264">
                  <c:v>4466.8359215096343</c:v>
                </c:pt>
                <c:pt idx="265">
                  <c:v>4570.8818961487532</c:v>
                </c:pt>
                <c:pt idx="266">
                  <c:v>4677.3514128719844</c:v>
                </c:pt>
                <c:pt idx="267">
                  <c:v>4786.3009232263848</c:v>
                </c:pt>
                <c:pt idx="268">
                  <c:v>4897.7881936844633</c:v>
                </c:pt>
                <c:pt idx="269">
                  <c:v>5011.8723362727324</c:v>
                </c:pt>
                <c:pt idx="270">
                  <c:v>5128.6138399136489</c:v>
                </c:pt>
                <c:pt idx="271">
                  <c:v>5248.0746024977261</c:v>
                </c:pt>
                <c:pt idx="272">
                  <c:v>5370.3179637025269</c:v>
                </c:pt>
                <c:pt idx="273">
                  <c:v>5495.4087385762541</c:v>
                </c:pt>
                <c:pt idx="274">
                  <c:v>5623.4132519034993</c:v>
                </c:pt>
                <c:pt idx="275">
                  <c:v>5754.399373371567</c:v>
                </c:pt>
                <c:pt idx="276">
                  <c:v>5888.4365535558973</c:v>
                </c:pt>
                <c:pt idx="277">
                  <c:v>6025.595860743585</c:v>
                </c:pt>
                <c:pt idx="278">
                  <c:v>6165.9500186148289</c:v>
                </c:pt>
                <c:pt idx="279">
                  <c:v>6309.5734448019384</c:v>
                </c:pt>
                <c:pt idx="280">
                  <c:v>6456.5422903465615</c:v>
                </c:pt>
                <c:pt idx="281">
                  <c:v>6606.9344800759654</c:v>
                </c:pt>
                <c:pt idx="282">
                  <c:v>6760.8297539198229</c:v>
                </c:pt>
                <c:pt idx="283">
                  <c:v>6918.3097091893687</c:v>
                </c:pt>
                <c:pt idx="284">
                  <c:v>7079.4578438413828</c:v>
                </c:pt>
                <c:pt idx="285">
                  <c:v>7244.3596007499036</c:v>
                </c:pt>
                <c:pt idx="286">
                  <c:v>7413.1024130091773</c:v>
                </c:pt>
                <c:pt idx="287">
                  <c:v>7585.7757502918394</c:v>
                </c:pt>
                <c:pt idx="288">
                  <c:v>7762.4711662869322</c:v>
                </c:pt>
                <c:pt idx="289">
                  <c:v>7943.2823472428154</c:v>
                </c:pt>
                <c:pt idx="290">
                  <c:v>8128.3051616410066</c:v>
                </c:pt>
                <c:pt idx="291">
                  <c:v>8317.6377110267094</c:v>
                </c:pt>
                <c:pt idx="292">
                  <c:v>8511.3803820237772</c:v>
                </c:pt>
                <c:pt idx="293">
                  <c:v>8709.6358995608189</c:v>
                </c:pt>
                <c:pt idx="294">
                  <c:v>8912.5093813374679</c:v>
                </c:pt>
                <c:pt idx="295">
                  <c:v>9120.1083935591087</c:v>
                </c:pt>
                <c:pt idx="296">
                  <c:v>9332.5430079699217</c:v>
                </c:pt>
                <c:pt idx="297">
                  <c:v>9549.9258602143691</c:v>
                </c:pt>
                <c:pt idx="298">
                  <c:v>9772.3722095581161</c:v>
                </c:pt>
                <c:pt idx="299">
                  <c:v>10000</c:v>
                </c:pt>
                <c:pt idx="300">
                  <c:v>10232.929922807549</c:v>
                </c:pt>
                <c:pt idx="301">
                  <c:v>10471.285480509003</c:v>
                </c:pt>
                <c:pt idx="302">
                  <c:v>10715.193052376071</c:v>
                </c:pt>
                <c:pt idx="303">
                  <c:v>10964.781961431856</c:v>
                </c:pt>
                <c:pt idx="304">
                  <c:v>11220.184543019639</c:v>
                </c:pt>
                <c:pt idx="305">
                  <c:v>11481.536214968832</c:v>
                </c:pt>
                <c:pt idx="306">
                  <c:v>11748.975549395318</c:v>
                </c:pt>
                <c:pt idx="307">
                  <c:v>12022.644346174151</c:v>
                </c:pt>
                <c:pt idx="308">
                  <c:v>12302.687708123816</c:v>
                </c:pt>
                <c:pt idx="309">
                  <c:v>12589.254117941671</c:v>
                </c:pt>
                <c:pt idx="310">
                  <c:v>12882.49551693136</c:v>
                </c:pt>
                <c:pt idx="311">
                  <c:v>13182.567385564091</c:v>
                </c:pt>
                <c:pt idx="312">
                  <c:v>13489.628825916556</c:v>
                </c:pt>
                <c:pt idx="313">
                  <c:v>13803.842646028841</c:v>
                </c:pt>
                <c:pt idx="314">
                  <c:v>14125.375446227561</c:v>
                </c:pt>
                <c:pt idx="315">
                  <c:v>14454.397707459291</c:v>
                </c:pt>
                <c:pt idx="316">
                  <c:v>14791.083881682089</c:v>
                </c:pt>
                <c:pt idx="317">
                  <c:v>15135.612484362096</c:v>
                </c:pt>
                <c:pt idx="318">
                  <c:v>15488.166189124853</c:v>
                </c:pt>
                <c:pt idx="319">
                  <c:v>15848.931924611146</c:v>
                </c:pt>
                <c:pt idx="320">
                  <c:v>16218.100973589309</c:v>
                </c:pt>
                <c:pt idx="321">
                  <c:v>16595.869074375616</c:v>
                </c:pt>
                <c:pt idx="322">
                  <c:v>16982.436524617482</c:v>
                </c:pt>
                <c:pt idx="323">
                  <c:v>17378.008287493791</c:v>
                </c:pt>
                <c:pt idx="324">
                  <c:v>17782.794100389234</c:v>
                </c:pt>
                <c:pt idx="325">
                  <c:v>18197.008586099837</c:v>
                </c:pt>
                <c:pt idx="326">
                  <c:v>18620.871366628675</c:v>
                </c:pt>
                <c:pt idx="327">
                  <c:v>19054.607179632505</c:v>
                </c:pt>
                <c:pt idx="328">
                  <c:v>19498.445997580486</c:v>
                </c:pt>
                <c:pt idx="329">
                  <c:v>19952.623149688792</c:v>
                </c:pt>
                <c:pt idx="330">
                  <c:v>20417.379446695286</c:v>
                </c:pt>
                <c:pt idx="331">
                  <c:v>20892.961308540423</c:v>
                </c:pt>
                <c:pt idx="332">
                  <c:v>21379.620895022348</c:v>
                </c:pt>
                <c:pt idx="333">
                  <c:v>21877.61623949555</c:v>
                </c:pt>
                <c:pt idx="334">
                  <c:v>22387.211385683382</c:v>
                </c:pt>
                <c:pt idx="335">
                  <c:v>22908.676527677751</c:v>
                </c:pt>
                <c:pt idx="336">
                  <c:v>23442.288153199243</c:v>
                </c:pt>
                <c:pt idx="337">
                  <c:v>23988.329190194923</c:v>
                </c:pt>
                <c:pt idx="338">
                  <c:v>24547.089156850321</c:v>
                </c:pt>
                <c:pt idx="339">
                  <c:v>25118.86431509586</c:v>
                </c:pt>
                <c:pt idx="340">
                  <c:v>25703.95782768865</c:v>
                </c:pt>
                <c:pt idx="341">
                  <c:v>26302.679918953829</c:v>
                </c:pt>
                <c:pt idx="342">
                  <c:v>26915.348039269167</c:v>
                </c:pt>
                <c:pt idx="343">
                  <c:v>27542.287033381719</c:v>
                </c:pt>
                <c:pt idx="344">
                  <c:v>28183.829312644593</c:v>
                </c:pt>
                <c:pt idx="345">
                  <c:v>28840.315031266062</c:v>
                </c:pt>
                <c:pt idx="346">
                  <c:v>29512.092266663854</c:v>
                </c:pt>
                <c:pt idx="347">
                  <c:v>30199.517204020212</c:v>
                </c:pt>
                <c:pt idx="348">
                  <c:v>30902.954325135954</c:v>
                </c:pt>
                <c:pt idx="349">
                  <c:v>31622.77660168384</c:v>
                </c:pt>
                <c:pt idx="350">
                  <c:v>32359.365692962871</c:v>
                </c:pt>
                <c:pt idx="351">
                  <c:v>33113.11214825909</c:v>
                </c:pt>
                <c:pt idx="352">
                  <c:v>33884.41561392029</c:v>
                </c:pt>
                <c:pt idx="353">
                  <c:v>34673.685045253202</c:v>
                </c:pt>
                <c:pt idx="354">
                  <c:v>35481.33892335758</c:v>
                </c:pt>
                <c:pt idx="355">
                  <c:v>36307.805477010232</c:v>
                </c:pt>
                <c:pt idx="356">
                  <c:v>37153.522909717351</c:v>
                </c:pt>
                <c:pt idx="357">
                  <c:v>38018.939632056143</c:v>
                </c:pt>
                <c:pt idx="358">
                  <c:v>38904.514499428085</c:v>
                </c:pt>
                <c:pt idx="359">
                  <c:v>39810.717055349742</c:v>
                </c:pt>
                <c:pt idx="360">
                  <c:v>40738.027780411358</c:v>
                </c:pt>
                <c:pt idx="361">
                  <c:v>41686.938347033625</c:v>
                </c:pt>
                <c:pt idx="362">
                  <c:v>42657.951880159271</c:v>
                </c:pt>
                <c:pt idx="363">
                  <c:v>43651.583224016598</c:v>
                </c:pt>
                <c:pt idx="364">
                  <c:v>44668.359215096389</c:v>
                </c:pt>
                <c:pt idx="365">
                  <c:v>45708.818961487581</c:v>
                </c:pt>
                <c:pt idx="366">
                  <c:v>46773.514128719893</c:v>
                </c:pt>
                <c:pt idx="367">
                  <c:v>47863.009232263823</c:v>
                </c:pt>
                <c:pt idx="368">
                  <c:v>48977.881936844598</c:v>
                </c:pt>
                <c:pt idx="369">
                  <c:v>50118.723362727294</c:v>
                </c:pt>
                <c:pt idx="370">
                  <c:v>51286.138399136544</c:v>
                </c:pt>
                <c:pt idx="371">
                  <c:v>52480.746024977314</c:v>
                </c:pt>
                <c:pt idx="372">
                  <c:v>53703.179637025423</c:v>
                </c:pt>
                <c:pt idx="373">
                  <c:v>54954.087385762505</c:v>
                </c:pt>
                <c:pt idx="374">
                  <c:v>56234.132519034953</c:v>
                </c:pt>
                <c:pt idx="375">
                  <c:v>57543.993733715732</c:v>
                </c:pt>
                <c:pt idx="376">
                  <c:v>58884.365535558936</c:v>
                </c:pt>
                <c:pt idx="377">
                  <c:v>60255.95860743591</c:v>
                </c:pt>
                <c:pt idx="378">
                  <c:v>61659.500186148245</c:v>
                </c:pt>
                <c:pt idx="379">
                  <c:v>63095.734448019342</c:v>
                </c:pt>
                <c:pt idx="380">
                  <c:v>64565.422903465682</c:v>
                </c:pt>
                <c:pt idx="381">
                  <c:v>66069.344800759733</c:v>
                </c:pt>
                <c:pt idx="382">
                  <c:v>67608.297539198305</c:v>
                </c:pt>
                <c:pt idx="383">
                  <c:v>69183.097091893651</c:v>
                </c:pt>
                <c:pt idx="384">
                  <c:v>70794.578438413781</c:v>
                </c:pt>
                <c:pt idx="385">
                  <c:v>72443.596007499116</c:v>
                </c:pt>
                <c:pt idx="386">
                  <c:v>74131.024130091857</c:v>
                </c:pt>
                <c:pt idx="387">
                  <c:v>75857.757502918481</c:v>
                </c:pt>
                <c:pt idx="388">
                  <c:v>77624.711662869129</c:v>
                </c:pt>
                <c:pt idx="389">
                  <c:v>79432.823472428237</c:v>
                </c:pt>
                <c:pt idx="390">
                  <c:v>81283.051616410012</c:v>
                </c:pt>
                <c:pt idx="391">
                  <c:v>83176.377110267174</c:v>
                </c:pt>
                <c:pt idx="392">
                  <c:v>85113.803820237721</c:v>
                </c:pt>
                <c:pt idx="393">
                  <c:v>87096.358995608127</c:v>
                </c:pt>
                <c:pt idx="394">
                  <c:v>89125.093813374609</c:v>
                </c:pt>
                <c:pt idx="395">
                  <c:v>91201.083935591028</c:v>
                </c:pt>
                <c:pt idx="396">
                  <c:v>93325.430079699145</c:v>
                </c:pt>
                <c:pt idx="397">
                  <c:v>95499.258602143804</c:v>
                </c:pt>
                <c:pt idx="398">
                  <c:v>97723.722095581266</c:v>
                </c:pt>
                <c:pt idx="399">
                  <c:v>100000</c:v>
                </c:pt>
                <c:pt idx="400">
                  <c:v>102329.29922807543</c:v>
                </c:pt>
                <c:pt idx="401">
                  <c:v>104712.85480508996</c:v>
                </c:pt>
                <c:pt idx="402">
                  <c:v>107151.93052376082</c:v>
                </c:pt>
                <c:pt idx="403">
                  <c:v>109647.81961431868</c:v>
                </c:pt>
                <c:pt idx="404">
                  <c:v>112201.84543019651</c:v>
                </c:pt>
                <c:pt idx="405">
                  <c:v>114815.36214968823</c:v>
                </c:pt>
                <c:pt idx="406">
                  <c:v>117489.75549395311</c:v>
                </c:pt>
                <c:pt idx="407">
                  <c:v>120226.44346174144</c:v>
                </c:pt>
                <c:pt idx="408">
                  <c:v>123026.87708123829</c:v>
                </c:pt>
                <c:pt idx="409">
                  <c:v>125892.54117941685</c:v>
                </c:pt>
                <c:pt idx="410">
                  <c:v>128824.95516931375</c:v>
                </c:pt>
                <c:pt idx="411">
                  <c:v>131825.67385564081</c:v>
                </c:pt>
                <c:pt idx="412">
                  <c:v>134896.28825916545</c:v>
                </c:pt>
                <c:pt idx="413">
                  <c:v>138038.42646028858</c:v>
                </c:pt>
                <c:pt idx="414">
                  <c:v>141253.75446227577</c:v>
                </c:pt>
                <c:pt idx="415">
                  <c:v>144543.97707459307</c:v>
                </c:pt>
                <c:pt idx="416">
                  <c:v>147910.83881682079</c:v>
                </c:pt>
                <c:pt idx="417">
                  <c:v>151356.12484362084</c:v>
                </c:pt>
                <c:pt idx="418">
                  <c:v>154881.66189124843</c:v>
                </c:pt>
                <c:pt idx="419">
                  <c:v>158489.31924611164</c:v>
                </c:pt>
                <c:pt idx="420">
                  <c:v>162181.00973589328</c:v>
                </c:pt>
                <c:pt idx="421">
                  <c:v>165958.69074375604</c:v>
                </c:pt>
                <c:pt idx="422">
                  <c:v>169824.36524617471</c:v>
                </c:pt>
                <c:pt idx="423">
                  <c:v>173780.0828749378</c:v>
                </c:pt>
                <c:pt idx="424">
                  <c:v>177827.94100389251</c:v>
                </c:pt>
                <c:pt idx="425">
                  <c:v>181970.08586099857</c:v>
                </c:pt>
                <c:pt idx="426">
                  <c:v>186208.71366628664</c:v>
                </c:pt>
                <c:pt idx="427">
                  <c:v>190546.07179632492</c:v>
                </c:pt>
                <c:pt idx="428">
                  <c:v>194984.45997580473</c:v>
                </c:pt>
                <c:pt idx="429">
                  <c:v>199526.23149688813</c:v>
                </c:pt>
                <c:pt idx="430">
                  <c:v>204173.79446695308</c:v>
                </c:pt>
                <c:pt idx="431">
                  <c:v>208929.61308540447</c:v>
                </c:pt>
                <c:pt idx="432">
                  <c:v>213796.20895022334</c:v>
                </c:pt>
                <c:pt idx="433">
                  <c:v>218776.16239495538</c:v>
                </c:pt>
                <c:pt idx="434">
                  <c:v>223872.11385683404</c:v>
                </c:pt>
                <c:pt idx="435">
                  <c:v>229086.76527677779</c:v>
                </c:pt>
                <c:pt idx="436">
                  <c:v>234422.88153199267</c:v>
                </c:pt>
                <c:pt idx="437">
                  <c:v>239883.29190194907</c:v>
                </c:pt>
                <c:pt idx="438">
                  <c:v>245470.89156850305</c:v>
                </c:pt>
                <c:pt idx="439">
                  <c:v>251188.64315095844</c:v>
                </c:pt>
                <c:pt idx="440">
                  <c:v>257039.57827688678</c:v>
                </c:pt>
                <c:pt idx="441">
                  <c:v>263026.79918953858</c:v>
                </c:pt>
                <c:pt idx="442">
                  <c:v>269153.48039269145</c:v>
                </c:pt>
                <c:pt idx="443">
                  <c:v>275422.87033381703</c:v>
                </c:pt>
                <c:pt idx="444">
                  <c:v>281838.29312644573</c:v>
                </c:pt>
                <c:pt idx="445">
                  <c:v>288403.1503126609</c:v>
                </c:pt>
                <c:pt idx="446">
                  <c:v>295120.92266663886</c:v>
                </c:pt>
                <c:pt idx="447">
                  <c:v>301995.17204020242</c:v>
                </c:pt>
                <c:pt idx="448">
                  <c:v>309029.54325135931</c:v>
                </c:pt>
                <c:pt idx="449">
                  <c:v>316227.7660168382</c:v>
                </c:pt>
                <c:pt idx="450">
                  <c:v>323593.65692962846</c:v>
                </c:pt>
                <c:pt idx="451">
                  <c:v>331131.12148259126</c:v>
                </c:pt>
                <c:pt idx="452">
                  <c:v>338844.15613920329</c:v>
                </c:pt>
                <c:pt idx="453">
                  <c:v>346736.85045253241</c:v>
                </c:pt>
                <c:pt idx="454">
                  <c:v>354813.38923357555</c:v>
                </c:pt>
                <c:pt idx="455">
                  <c:v>363078.05477010203</c:v>
                </c:pt>
                <c:pt idx="456">
                  <c:v>371535.2290971732</c:v>
                </c:pt>
                <c:pt idx="457">
                  <c:v>380189.39632056188</c:v>
                </c:pt>
                <c:pt idx="458">
                  <c:v>389045.14499428123</c:v>
                </c:pt>
                <c:pt idx="459">
                  <c:v>398107.17055349716</c:v>
                </c:pt>
                <c:pt idx="460">
                  <c:v>407380.27780411334</c:v>
                </c:pt>
                <c:pt idx="461">
                  <c:v>416869.38347033598</c:v>
                </c:pt>
                <c:pt idx="462">
                  <c:v>426579.51880159322</c:v>
                </c:pt>
                <c:pt idx="463">
                  <c:v>436515.83224016649</c:v>
                </c:pt>
                <c:pt idx="464">
                  <c:v>446683.59215096442</c:v>
                </c:pt>
                <c:pt idx="465">
                  <c:v>457088.18961487547</c:v>
                </c:pt>
                <c:pt idx="466">
                  <c:v>467735.14128719864</c:v>
                </c:pt>
                <c:pt idx="467">
                  <c:v>478630.09232263872</c:v>
                </c:pt>
                <c:pt idx="468">
                  <c:v>489778.81936844654</c:v>
                </c:pt>
                <c:pt idx="469">
                  <c:v>501187.23362727347</c:v>
                </c:pt>
                <c:pt idx="470">
                  <c:v>512861.38399136515</c:v>
                </c:pt>
                <c:pt idx="471">
                  <c:v>524807.46024977288</c:v>
                </c:pt>
                <c:pt idx="472">
                  <c:v>537031.7963702539</c:v>
                </c:pt>
                <c:pt idx="473">
                  <c:v>549540.87385762564</c:v>
                </c:pt>
                <c:pt idx="474">
                  <c:v>562341.32519035018</c:v>
                </c:pt>
                <c:pt idx="475">
                  <c:v>575439.93733715697</c:v>
                </c:pt>
                <c:pt idx="476">
                  <c:v>588843.65535558888</c:v>
                </c:pt>
                <c:pt idx="477">
                  <c:v>602559.58607435878</c:v>
                </c:pt>
                <c:pt idx="478">
                  <c:v>616595.00186148309</c:v>
                </c:pt>
                <c:pt idx="479">
                  <c:v>630957.34448019415</c:v>
                </c:pt>
                <c:pt idx="480">
                  <c:v>645654.22903465747</c:v>
                </c:pt>
                <c:pt idx="481">
                  <c:v>660693.44800759677</c:v>
                </c:pt>
                <c:pt idx="482">
                  <c:v>676082.97539198259</c:v>
                </c:pt>
                <c:pt idx="483">
                  <c:v>691830.97091893724</c:v>
                </c:pt>
                <c:pt idx="484">
                  <c:v>707945.78438413853</c:v>
                </c:pt>
                <c:pt idx="485">
                  <c:v>724435.96007499192</c:v>
                </c:pt>
                <c:pt idx="486">
                  <c:v>741310.24130091805</c:v>
                </c:pt>
                <c:pt idx="487">
                  <c:v>758577.57502918423</c:v>
                </c:pt>
                <c:pt idx="488">
                  <c:v>776247.11662869214</c:v>
                </c:pt>
                <c:pt idx="489">
                  <c:v>794328.23472428333</c:v>
                </c:pt>
                <c:pt idx="490">
                  <c:v>812830.51616410096</c:v>
                </c:pt>
                <c:pt idx="491">
                  <c:v>831763.77110267128</c:v>
                </c:pt>
                <c:pt idx="492">
                  <c:v>851138.03820237669</c:v>
                </c:pt>
                <c:pt idx="493">
                  <c:v>870963.58995608077</c:v>
                </c:pt>
                <c:pt idx="494">
                  <c:v>891250.93813374708</c:v>
                </c:pt>
                <c:pt idx="495">
                  <c:v>912010.83935591124</c:v>
                </c:pt>
                <c:pt idx="496">
                  <c:v>933254.30079699249</c:v>
                </c:pt>
                <c:pt idx="497">
                  <c:v>954992.58602143743</c:v>
                </c:pt>
                <c:pt idx="498">
                  <c:v>977237.22095581202</c:v>
                </c:pt>
                <c:pt idx="499">
                  <c:v>1000000</c:v>
                </c:pt>
                <c:pt idx="500">
                  <c:v>1023292.9922807553</c:v>
                </c:pt>
                <c:pt idx="501">
                  <c:v>1047128.5480509007</c:v>
                </c:pt>
                <c:pt idx="502">
                  <c:v>1071519.3052376076</c:v>
                </c:pt>
                <c:pt idx="503">
                  <c:v>1096478.196143186</c:v>
                </c:pt>
                <c:pt idx="504">
                  <c:v>1122018.4543019643</c:v>
                </c:pt>
                <c:pt idx="505">
                  <c:v>1148153.6214968837</c:v>
                </c:pt>
                <c:pt idx="506">
                  <c:v>1174897.5549395324</c:v>
                </c:pt>
                <c:pt idx="507">
                  <c:v>1202264.4346174158</c:v>
                </c:pt>
                <c:pt idx="508">
                  <c:v>1230268.770812382</c:v>
                </c:pt>
                <c:pt idx="509">
                  <c:v>1258925.4117941677</c:v>
                </c:pt>
                <c:pt idx="510">
                  <c:v>1288249.5516931366</c:v>
                </c:pt>
                <c:pt idx="511">
                  <c:v>1318256.7385564097</c:v>
                </c:pt>
                <c:pt idx="512">
                  <c:v>1348962.8825916562</c:v>
                </c:pt>
                <c:pt idx="513">
                  <c:v>1380384.2646028849</c:v>
                </c:pt>
                <c:pt idx="514">
                  <c:v>1412537.5446227565</c:v>
                </c:pt>
                <c:pt idx="515">
                  <c:v>1445439.7707459298</c:v>
                </c:pt>
                <c:pt idx="516">
                  <c:v>1479108.3881682095</c:v>
                </c:pt>
                <c:pt idx="517">
                  <c:v>1513561.2484362102</c:v>
                </c:pt>
                <c:pt idx="518">
                  <c:v>1548816.6189124861</c:v>
                </c:pt>
                <c:pt idx="519">
                  <c:v>1584893.1924611153</c:v>
                </c:pt>
                <c:pt idx="520">
                  <c:v>1621810.0973589318</c:v>
                </c:pt>
                <c:pt idx="521">
                  <c:v>1659586.9074375622</c:v>
                </c:pt>
                <c:pt idx="522">
                  <c:v>1698243.6524617488</c:v>
                </c:pt>
                <c:pt idx="523">
                  <c:v>1737800.8287493798</c:v>
                </c:pt>
                <c:pt idx="524">
                  <c:v>1778279.4100389241</c:v>
                </c:pt>
                <c:pt idx="525">
                  <c:v>1819700.8586099846</c:v>
                </c:pt>
                <c:pt idx="526">
                  <c:v>1862087.1366628683</c:v>
                </c:pt>
                <c:pt idx="527">
                  <c:v>1905460.7179632513</c:v>
                </c:pt>
                <c:pt idx="528">
                  <c:v>1949844.5997580495</c:v>
                </c:pt>
                <c:pt idx="529">
                  <c:v>1995262.31496888</c:v>
                </c:pt>
                <c:pt idx="530">
                  <c:v>2041737.9446695296</c:v>
                </c:pt>
                <c:pt idx="531">
                  <c:v>2089296.1308540432</c:v>
                </c:pt>
                <c:pt idx="532">
                  <c:v>2137962.0895022359</c:v>
                </c:pt>
                <c:pt idx="533">
                  <c:v>2187761.6239495561</c:v>
                </c:pt>
                <c:pt idx="534">
                  <c:v>2238721.1385683389</c:v>
                </c:pt>
                <c:pt idx="535">
                  <c:v>2290867.6527677765</c:v>
                </c:pt>
                <c:pt idx="536">
                  <c:v>2344228.8153199251</c:v>
                </c:pt>
                <c:pt idx="537">
                  <c:v>2398832.9190194933</c:v>
                </c:pt>
                <c:pt idx="538">
                  <c:v>2454708.915685033</c:v>
                </c:pt>
                <c:pt idx="539">
                  <c:v>2511886.431509587</c:v>
                </c:pt>
                <c:pt idx="540">
                  <c:v>2570395.782768866</c:v>
                </c:pt>
                <c:pt idx="541">
                  <c:v>2630267.9918953842</c:v>
                </c:pt>
              </c:numCache>
            </c:numRef>
          </c:xVal>
          <c:yVal>
            <c:numRef>
              <c:f>Loop_Modeling!$AU$19:$AU$560</c:f>
              <c:numCache>
                <c:formatCode>General</c:formatCode>
                <c:ptCount val="542"/>
                <c:pt idx="0">
                  <c:v>83.191475798228751</c:v>
                </c:pt>
                <c:pt idx="1">
                  <c:v>83.03668313022844</c:v>
                </c:pt>
                <c:pt idx="2">
                  <c:v>82.878550302310742</c:v>
                </c:pt>
                <c:pt idx="3">
                  <c:v>82.71701775501279</c:v>
                </c:pt>
                <c:pt idx="4">
                  <c:v>82.552025759219148</c:v>
                </c:pt>
                <c:pt idx="5">
                  <c:v>82.383514489223089</c:v>
                </c:pt>
                <c:pt idx="6">
                  <c:v>82.211424101861198</c:v>
                </c:pt>
                <c:pt idx="7">
                  <c:v>82.035694822050644</c:v>
                </c:pt>
                <c:pt idx="8">
                  <c:v>81.856267035066793</c:v>
                </c:pt>
                <c:pt idx="9">
                  <c:v>81.673081385909128</c:v>
                </c:pt>
                <c:pt idx="10">
                  <c:v>81.486078886107023</c:v>
                </c:pt>
                <c:pt idx="11">
                  <c:v>81.295201028323632</c:v>
                </c:pt>
                <c:pt idx="12">
                  <c:v>81.100389909120153</c:v>
                </c:pt>
                <c:pt idx="13">
                  <c:v>80.901588360242258</c:v>
                </c:pt>
                <c:pt idx="14">
                  <c:v>80.69874008879323</c:v>
                </c:pt>
                <c:pt idx="15">
                  <c:v>80.491789826654284</c:v>
                </c:pt>
                <c:pt idx="16">
                  <c:v>80.28068348950552</c:v>
                </c:pt>
                <c:pt idx="17">
                  <c:v>80.06536834579812</c:v>
                </c:pt>
                <c:pt idx="18">
                  <c:v>79.845793196007932</c:v>
                </c:pt>
                <c:pt idx="19">
                  <c:v>79.621908562495747</c:v>
                </c:pt>
                <c:pt idx="20">
                  <c:v>79.393666890272414</c:v>
                </c:pt>
                <c:pt idx="21">
                  <c:v>79.161022758943133</c:v>
                </c:pt>
                <c:pt idx="22">
                  <c:v>78.923933106083282</c:v>
                </c:pt>
                <c:pt idx="23">
                  <c:v>78.682357462253819</c:v>
                </c:pt>
                <c:pt idx="24">
                  <c:v>78.436258197832544</c:v>
                </c:pt>
                <c:pt idx="25">
                  <c:v>78.185600781785382</c:v>
                </c:pt>
                <c:pt idx="26">
                  <c:v>77.930354052451776</c:v>
                </c:pt>
                <c:pt idx="27">
                  <c:v>77.670490500355271</c:v>
                </c:pt>
                <c:pt idx="28">
                  <c:v>77.405986562984864</c:v>
                </c:pt>
                <c:pt idx="29">
                  <c:v>77.136822931415082</c:v>
                </c:pt>
                <c:pt idx="30">
                  <c:v>76.862984868548494</c:v>
                </c:pt>
                <c:pt idx="31">
                  <c:v>76.584462538672923</c:v>
                </c:pt>
                <c:pt idx="32">
                  <c:v>76.301251347922971</c:v>
                </c:pt>
                <c:pt idx="33">
                  <c:v>76.013352295125117</c:v>
                </c:pt>
                <c:pt idx="34">
                  <c:v>75.720772332387654</c:v>
                </c:pt>
                <c:pt idx="35">
                  <c:v>75.423524734666501</c:v>
                </c:pt>
                <c:pt idx="36">
                  <c:v>75.121629477404724</c:v>
                </c:pt>
                <c:pt idx="37">
                  <c:v>74.815113621194868</c:v>
                </c:pt>
                <c:pt idx="38">
                  <c:v>74.504011702264009</c:v>
                </c:pt>
                <c:pt idx="39">
                  <c:v>74.188366127420437</c:v>
                </c:pt>
                <c:pt idx="40">
                  <c:v>73.868227571937254</c:v>
                </c:pt>
                <c:pt idx="41">
                  <c:v>73.543655378674245</c:v>
                </c:pt>
                <c:pt idx="42">
                  <c:v>73.21471795657277</c:v>
                </c:pt>
                <c:pt idx="43">
                  <c:v>72.881493176475146</c:v>
                </c:pt>
                <c:pt idx="44">
                  <c:v>72.544068762050003</c:v>
                </c:pt>
                <c:pt idx="45">
                  <c:v>72.202542673431594</c:v>
                </c:pt>
                <c:pt idx="46">
                  <c:v>71.857023481008952</c:v>
                </c:pt>
                <c:pt idx="47">
                  <c:v>71.507630726643498</c:v>
                </c:pt>
                <c:pt idx="48">
                  <c:v>71.154495269439991</c:v>
                </c:pt>
                <c:pt idx="49">
                  <c:v>70.7977596130563</c:v>
                </c:pt>
                <c:pt idx="50">
                  <c:v>70.437578211416792</c:v>
                </c:pt>
                <c:pt idx="51">
                  <c:v>70.074117749591437</c:v>
                </c:pt>
                <c:pt idx="52">
                  <c:v>69.707557396517416</c:v>
                </c:pt>
                <c:pt idx="53">
                  <c:v>69.338089026192208</c:v>
                </c:pt>
                <c:pt idx="54">
                  <c:v>68.965917403937155</c:v>
                </c:pt>
                <c:pt idx="55">
                  <c:v>68.591260334340731</c:v>
                </c:pt>
                <c:pt idx="56">
                  <c:v>68.214348767529813</c:v>
                </c:pt>
                <c:pt idx="57">
                  <c:v>67.83542686050329</c:v>
                </c:pt>
                <c:pt idx="58">
                  <c:v>67.454751990378256</c:v>
                </c:pt>
                <c:pt idx="59">
                  <c:v>67.072594716565249</c:v>
                </c:pt>
                <c:pt idx="60">
                  <c:v>66.689238689094054</c:v>
                </c:pt>
                <c:pt idx="61">
                  <c:v>66.304980500560788</c:v>
                </c:pt>
                <c:pt idx="62">
                  <c:v>65.920129479459604</c:v>
                </c:pt>
                <c:pt idx="63">
                  <c:v>65.535007423001147</c:v>
                </c:pt>
                <c:pt idx="64">
                  <c:v>65.149948267888902</c:v>
                </c:pt>
                <c:pt idx="65">
                  <c:v>64.765297697944803</c:v>
                </c:pt>
                <c:pt idx="66">
                  <c:v>64.38141268791729</c:v>
                </c:pt>
                <c:pt idx="67">
                  <c:v>63.998660983283465</c:v>
                </c:pt>
                <c:pt idx="68">
                  <c:v>63.617420516355793</c:v>
                </c:pt>
                <c:pt idx="69">
                  <c:v>63.238078759524456</c:v>
                </c:pt>
                <c:pt idx="70">
                  <c:v>62.861032016989434</c:v>
                </c:pt>
                <c:pt idx="71">
                  <c:v>62.486684656874068</c:v>
                </c:pt>
                <c:pt idx="72">
                  <c:v>62.115448286135951</c:v>
                </c:pt>
                <c:pt idx="73">
                  <c:v>61.747740871206275</c:v>
                </c:pt>
                <c:pt idx="74">
                  <c:v>61.383985807783198</c:v>
                </c:pt>
                <c:pt idx="75">
                  <c:v>61.024610943674318</c:v>
                </c:pt>
                <c:pt idx="76">
                  <c:v>60.670047559005205</c:v>
                </c:pt>
                <c:pt idx="77">
                  <c:v>60.320729308505861</c:v>
                </c:pt>
                <c:pt idx="78">
                  <c:v>59.977091130918168</c:v>
                </c:pt>
                <c:pt idx="79">
                  <c:v>59.639568130854165</c:v>
                </c:pt>
                <c:pt idx="80">
                  <c:v>59.308594438648505</c:v>
                </c:pt>
                <c:pt idx="81">
                  <c:v>58.984602053921598</c:v>
                </c:pt>
                <c:pt idx="82">
                  <c:v>58.66801967865365</c:v>
                </c:pt>
                <c:pt idx="83">
                  <c:v>58.359271545601906</c:v>
                </c:pt>
                <c:pt idx="84">
                  <c:v>58.058776247865893</c:v>
                </c:pt>
                <c:pt idx="85">
                  <c:v>57.766945575301634</c:v>
                </c:pt>
                <c:pt idx="86">
                  <c:v>57.484183363330146</c:v>
                </c:pt>
                <c:pt idx="87">
                  <c:v>57.210884359483636</c:v>
                </c:pt>
                <c:pt idx="88">
                  <c:v>56.947433112765665</c:v>
                </c:pt>
                <c:pt idx="89">
                  <c:v>56.694202890606078</c:v>
                </c:pt>
                <c:pt idx="90">
                  <c:v>56.451554627855884</c:v>
                </c:pt>
                <c:pt idx="91">
                  <c:v>56.219835911908248</c:v>
                </c:pt>
                <c:pt idx="92">
                  <c:v>55.99938000764358</c:v>
                </c:pt>
                <c:pt idx="93">
                  <c:v>55.790504925516942</c:v>
                </c:pt>
                <c:pt idx="94">
                  <c:v>55.593512535701024</c:v>
                </c:pt>
                <c:pt idx="95">
                  <c:v>55.408687730821974</c:v>
                </c:pt>
                <c:pt idx="96">
                  <c:v>55.236297639435783</c:v>
                </c:pt>
                <c:pt idx="97">
                  <c:v>55.076590892048891</c:v>
                </c:pt>
                <c:pt idx="98">
                  <c:v>54.92979694114576</c:v>
                </c:pt>
                <c:pt idx="99">
                  <c:v>54.796125436385999</c:v>
                </c:pt>
                <c:pt idx="100">
                  <c:v>54.675765655863721</c:v>
                </c:pt>
                <c:pt idx="101">
                  <c:v>54.568885994082983</c:v>
                </c:pt>
                <c:pt idx="102">
                  <c:v>54.475633507109052</c:v>
                </c:pt>
                <c:pt idx="103">
                  <c:v>54.396133515189781</c:v>
                </c:pt>
                <c:pt idx="104">
                  <c:v>54.330489263012225</c:v>
                </c:pt>
                <c:pt idx="105">
                  <c:v>54.278781637675635</c:v>
                </c:pt>
                <c:pt idx="106">
                  <c:v>54.241068944387038</c:v>
                </c:pt>
                <c:pt idx="107">
                  <c:v>54.217386739864033</c:v>
                </c:pt>
                <c:pt idx="108">
                  <c:v>54.207747723401013</c:v>
                </c:pt>
                <c:pt idx="109">
                  <c:v>54.212141685572817</c:v>
                </c:pt>
                <c:pt idx="110">
                  <c:v>54.230535514553871</c:v>
                </c:pt>
                <c:pt idx="111">
                  <c:v>54.26287326005685</c:v>
                </c:pt>
                <c:pt idx="112">
                  <c:v>54.309076254907424</c:v>
                </c:pt>
                <c:pt idx="113">
                  <c:v>54.36904329429278</c:v>
                </c:pt>
                <c:pt idx="114">
                  <c:v>54.442650872708654</c:v>
                </c:pt>
                <c:pt idx="115">
                  <c:v>54.529753478618325</c:v>
                </c:pt>
                <c:pt idx="116">
                  <c:v>54.630183946787767</c:v>
                </c:pt>
                <c:pt idx="117">
                  <c:v>54.743753868189849</c:v>
                </c:pt>
                <c:pt idx="118">
                  <c:v>54.870254057270891</c:v>
                </c:pt>
                <c:pt idx="119">
                  <c:v>55.009455076224953</c:v>
                </c:pt>
                <c:pt idx="120">
                  <c:v>55.161107815758598</c:v>
                </c:pt>
                <c:pt idx="121">
                  <c:v>55.324944131605115</c:v>
                </c:pt>
                <c:pt idx="122">
                  <c:v>55.500677535812798</c:v>
                </c:pt>
                <c:pt idx="123">
                  <c:v>55.688003941535584</c:v>
                </c:pt>
                <c:pt idx="124">
                  <c:v>55.886602459756958</c:v>
                </c:pt>
                <c:pt idx="125">
                  <c:v>56.096136246017672</c:v>
                </c:pt>
                <c:pt idx="126">
                  <c:v>56.316253394875943</c:v>
                </c:pt>
                <c:pt idx="127">
                  <c:v>56.546587879425054</c:v>
                </c:pt>
                <c:pt idx="128">
                  <c:v>56.78676053282377</c:v>
                </c:pt>
                <c:pt idx="129">
                  <c:v>57.03638006838279</c:v>
                </c:pt>
                <c:pt idx="130">
                  <c:v>57.295044134377363</c:v>
                </c:pt>
                <c:pt idx="131">
                  <c:v>57.5623403993729</c:v>
                </c:pt>
                <c:pt idx="132">
                  <c:v>57.837847663495793</c:v>
                </c:pt>
                <c:pt idx="133">
                  <c:v>58.121136990764946</c:v>
                </c:pt>
                <c:pt idx="134">
                  <c:v>58.411772857305628</c:v>
                </c:pt>
                <c:pt idx="135">
                  <c:v>58.70931431002861</c:v>
                </c:pt>
                <c:pt idx="136">
                  <c:v>59.013316130163474</c:v>
                </c:pt>
                <c:pt idx="137">
                  <c:v>59.323329995900224</c:v>
                </c:pt>
                <c:pt idx="138">
                  <c:v>59.638905638318775</c:v>
                </c:pt>
                <c:pt idx="139">
                  <c:v>59.959591984764202</c:v>
                </c:pt>
                <c:pt idx="140">
                  <c:v>60.284938283894412</c:v>
                </c:pt>
                <c:pt idx="141">
                  <c:v>60.614495206724513</c:v>
                </c:pt>
                <c:pt idx="142">
                  <c:v>60.947815918188958</c:v>
                </c:pt>
                <c:pt idx="143">
                  <c:v>61.284457113972472</c:v>
                </c:pt>
                <c:pt idx="144">
                  <c:v>61.623980017675407</c:v>
                </c:pt>
                <c:pt idx="145">
                  <c:v>61.965951333718486</c:v>
                </c:pt>
                <c:pt idx="146">
                  <c:v>62.309944151807088</c:v>
                </c:pt>
                <c:pt idx="147">
                  <c:v>62.655538799206965</c:v>
                </c:pt>
                <c:pt idx="148">
                  <c:v>63.002323637569056</c:v>
                </c:pt>
                <c:pt idx="149">
                  <c:v>63.349895801534124</c:v>
                </c:pt>
                <c:pt idx="150">
                  <c:v>63.697861876876402</c:v>
                </c:pt>
                <c:pt idx="151">
                  <c:v>64.045838516470226</c:v>
                </c:pt>
                <c:pt idx="152">
                  <c:v>64.393452992894879</c:v>
                </c:pt>
                <c:pt idx="153">
                  <c:v>64.74034368702263</c:v>
                </c:pt>
                <c:pt idx="154">
                  <c:v>65.086160512442319</c:v>
                </c:pt>
                <c:pt idx="155">
                  <c:v>65.430565276068918</c:v>
                </c:pt>
                <c:pt idx="156">
                  <c:v>65.773231975748274</c:v>
                </c:pt>
                <c:pt idx="157">
                  <c:v>66.113847036115388</c:v>
                </c:pt>
                <c:pt idx="158">
                  <c:v>66.452109484348568</c:v>
                </c:pt>
                <c:pt idx="159">
                  <c:v>66.787731067840184</c:v>
                </c:pt>
                <c:pt idx="160">
                  <c:v>67.12043631611526</c:v>
                </c:pt>
                <c:pt idx="161">
                  <c:v>67.449962549610461</c:v>
                </c:pt>
                <c:pt idx="162">
                  <c:v>67.776059838165722</c:v>
                </c:pt>
                <c:pt idx="163">
                  <c:v>68.098490912263969</c:v>
                </c:pt>
                <c:pt idx="164">
                  <c:v>68.417031030210609</c:v>
                </c:pt>
                <c:pt idx="165">
                  <c:v>68.731467804545673</c:v>
                </c:pt>
                <c:pt idx="166">
                  <c:v>69.041600991057166</c:v>
                </c:pt>
                <c:pt idx="167">
                  <c:v>69.347242243783697</c:v>
                </c:pt>
                <c:pt idx="168">
                  <c:v>69.648214839400595</c:v>
                </c:pt>
                <c:pt idx="169">
                  <c:v>69.944353374344843</c:v>
                </c:pt>
                <c:pt idx="170">
                  <c:v>70.235503437968632</c:v>
                </c:pt>
                <c:pt idx="171">
                  <c:v>70.521521264924189</c:v>
                </c:pt>
                <c:pt idx="172">
                  <c:v>70.802273369876204</c:v>
                </c:pt>
                <c:pt idx="173">
                  <c:v>71.077636167503073</c:v>
                </c:pt>
                <c:pt idx="174">
                  <c:v>71.347495580611735</c:v>
                </c:pt>
                <c:pt idx="175">
                  <c:v>71.611746639029775</c:v>
                </c:pt>
                <c:pt idx="176">
                  <c:v>71.870293071781688</c:v>
                </c:pt>
                <c:pt idx="177">
                  <c:v>72.123046894875756</c:v>
                </c:pt>
                <c:pt idx="178">
                  <c:v>72.369927996867247</c:v>
                </c:pt>
                <c:pt idx="179">
                  <c:v>72.610863724175147</c:v>
                </c:pt>
                <c:pt idx="180">
                  <c:v>72.845788467963658</c:v>
                </c:pt>
                <c:pt idx="181">
                  <c:v>73.074643254226487</c:v>
                </c:pt>
                <c:pt idx="182">
                  <c:v>73.297375338538714</c:v>
                </c:pt>
                <c:pt idx="183">
                  <c:v>73.513937806782806</c:v>
                </c:pt>
                <c:pt idx="184">
                  <c:v>73.724289182999755</c:v>
                </c:pt>
                <c:pt idx="185">
                  <c:v>73.928393045358362</c:v>
                </c:pt>
                <c:pt idx="186">
                  <c:v>74.126217651107055</c:v>
                </c:pt>
                <c:pt idx="187">
                  <c:v>74.317735571227544</c:v>
                </c:pt>
                <c:pt idx="188">
                  <c:v>74.502923335392083</c:v>
                </c:pt>
                <c:pt idx="189">
                  <c:v>74.681761087707116</c:v>
                </c:pt>
                <c:pt idx="190">
                  <c:v>74.854232253622399</c:v>
                </c:pt>
                <c:pt idx="191">
                  <c:v>75.020323218283281</c:v>
                </c:pt>
                <c:pt idx="192">
                  <c:v>75.180023016517978</c:v>
                </c:pt>
                <c:pt idx="193">
                  <c:v>75.333323034568437</c:v>
                </c:pt>
                <c:pt idx="194">
                  <c:v>75.480216723603334</c:v>
                </c:pt>
                <c:pt idx="195">
                  <c:v>75.620699324985438</c:v>
                </c:pt>
                <c:pt idx="196">
                  <c:v>75.75476760720899</c:v>
                </c:pt>
                <c:pt idx="197">
                  <c:v>75.882419614374953</c:v>
                </c:pt>
                <c:pt idx="198">
                  <c:v>76.003654426024738</c:v>
                </c:pt>
                <c:pt idx="199">
                  <c:v>76.118471928119007</c:v>
                </c:pt>
                <c:pt idx="200">
                  <c:v>76.226872594918632</c:v>
                </c:pt>
                <c:pt idx="201">
                  <c:v>76.328857281492219</c:v>
                </c:pt>
                <c:pt idx="202">
                  <c:v>76.424427026561276</c:v>
                </c:pt>
                <c:pt idx="203">
                  <c:v>76.513582865376236</c:v>
                </c:pt>
                <c:pt idx="204">
                  <c:v>76.596325652297793</c:v>
                </c:pt>
                <c:pt idx="205">
                  <c:v>76.6726558927583</c:v>
                </c:pt>
                <c:pt idx="206">
                  <c:v>76.742573584269252</c:v>
                </c:pt>
                <c:pt idx="207">
                  <c:v>76.806078066136294</c:v>
                </c:pt>
                <c:pt idx="208">
                  <c:v>76.86316787754761</c:v>
                </c:pt>
                <c:pt idx="209">
                  <c:v>76.913840623703095</c:v>
                </c:pt>
                <c:pt idx="210">
                  <c:v>76.958092849656765</c:v>
                </c:pt>
                <c:pt idx="211">
                  <c:v>76.995919921551973</c:v>
                </c:pt>
                <c:pt idx="212">
                  <c:v>77.02731591493847</c:v>
                </c:pt>
                <c:pt idx="213">
                  <c:v>77.052273509869025</c:v>
                </c:pt>
                <c:pt idx="214">
                  <c:v>77.070783892486816</c:v>
                </c:pt>
                <c:pt idx="215">
                  <c:v>77.0828366628255</c:v>
                </c:pt>
                <c:pt idx="216">
                  <c:v>77.088419748557854</c:v>
                </c:pt>
                <c:pt idx="217">
                  <c:v>77.087519324444401</c:v>
                </c:pt>
                <c:pt idx="218">
                  <c:v>77.080119737246093</c:v>
                </c:pt>
                <c:pt idx="219">
                  <c:v>77.066203435882173</c:v>
                </c:pt>
                <c:pt idx="220">
                  <c:v>77.045750906629934</c:v>
                </c:pt>
                <c:pt idx="221">
                  <c:v>77.018740613179588</c:v>
                </c:pt>
                <c:pt idx="222">
                  <c:v>76.985148941373879</c:v>
                </c:pt>
                <c:pt idx="223">
                  <c:v>76.944950148477943</c:v>
                </c:pt>
                <c:pt idx="224">
                  <c:v>76.898116316845105</c:v>
                </c:pt>
                <c:pt idx="225">
                  <c:v>76.844617311858102</c:v>
                </c:pt>
                <c:pt idx="226">
                  <c:v>76.784420744045335</c:v>
                </c:pt>
                <c:pt idx="227">
                  <c:v>76.717491935286446</c:v>
                </c:pt>
                <c:pt idx="228">
                  <c:v>76.643793889043906</c:v>
                </c:pt>
                <c:pt idx="229">
                  <c:v>76.563287264569183</c:v>
                </c:pt>
                <c:pt idx="230">
                  <c:v>76.475930355053848</c:v>
                </c:pt>
                <c:pt idx="231">
                  <c:v>76.381679069713243</c:v>
                </c:pt>
                <c:pt idx="232">
                  <c:v>76.280486919806549</c:v>
                </c:pt>
                <c:pt idx="233">
                  <c:v>76.172305008615595</c:v>
                </c:pt>
                <c:pt idx="234">
                  <c:v>76.057082025425458</c:v>
                </c:pt>
                <c:pt idx="235">
                  <c:v>75.934764243560082</c:v>
                </c:pt>
                <c:pt idx="236">
                  <c:v>75.805295522555596</c:v>
                </c:pt>
                <c:pt idx="237">
                  <c:v>75.668617314558432</c:v>
                </c:pt>
                <c:pt idx="238">
                  <c:v>75.524668675064959</c:v>
                </c:pt>
                <c:pt idx="239">
                  <c:v>75.373386278128137</c:v>
                </c:pt>
                <c:pt idx="240">
                  <c:v>75.214704436179332</c:v>
                </c:pt>
                <c:pt idx="241">
                  <c:v>75.048555124627569</c:v>
                </c:pt>
                <c:pt idx="242">
                  <c:v>74.874868011417902</c:v>
                </c:pt>
                <c:pt idx="243">
                  <c:v>74.693570491745803</c:v>
                </c:pt>
                <c:pt idx="244">
                  <c:v>74.504587728139327</c:v>
                </c:pt>
                <c:pt idx="245">
                  <c:v>74.307842696141535</c:v>
                </c:pt>
                <c:pt idx="246">
                  <c:v>74.103256235834394</c:v>
                </c:pt>
                <c:pt idx="247">
                  <c:v>73.890747109467199</c:v>
                </c:pt>
                <c:pt idx="248">
                  <c:v>73.670232065458279</c:v>
                </c:pt>
                <c:pt idx="249">
                  <c:v>73.441625909060974</c:v>
                </c:pt>
                <c:pt idx="250">
                  <c:v>73.204841579988752</c:v>
                </c:pt>
                <c:pt idx="251">
                  <c:v>72.959790237310074</c:v>
                </c:pt>
                <c:pt idx="252">
                  <c:v>72.706381351930247</c:v>
                </c:pt>
                <c:pt idx="253">
                  <c:v>72.444522806987493</c:v>
                </c:pt>
                <c:pt idx="254">
                  <c:v>72.174121006493522</c:v>
                </c:pt>
                <c:pt idx="255">
                  <c:v>71.895080992555123</c:v>
                </c:pt>
                <c:pt idx="256">
                  <c:v>71.607306571512751</c:v>
                </c:pt>
                <c:pt idx="257">
                  <c:v>71.31070044933297</c:v>
                </c:pt>
                <c:pt idx="258">
                  <c:v>71.005164376582655</c:v>
                </c:pt>
                <c:pt idx="259">
                  <c:v>70.690599303311004</c:v>
                </c:pt>
                <c:pt idx="260">
                  <c:v>70.366905544149716</c:v>
                </c:pt>
                <c:pt idx="261">
                  <c:v>70.03398295392789</c:v>
                </c:pt>
                <c:pt idx="262">
                  <c:v>69.691731114076646</c:v>
                </c:pt>
                <c:pt idx="263">
                  <c:v>69.340049530075888</c:v>
                </c:pt>
                <c:pt idx="264">
                  <c:v>68.978837840162441</c:v>
                </c:pt>
                <c:pt idx="265">
                  <c:v>68.607996035486337</c:v>
                </c:pt>
                <c:pt idx="266">
                  <c:v>68.227424691856086</c:v>
                </c:pt>
                <c:pt idx="267">
                  <c:v>67.837025213166328</c:v>
                </c:pt>
                <c:pt idx="268">
                  <c:v>67.436700086547873</c:v>
                </c:pt>
                <c:pt idx="269">
                  <c:v>67.026353149213207</c:v>
                </c:pt>
                <c:pt idx="270">
                  <c:v>66.60588986690027</c:v>
                </c:pt>
                <c:pt idx="271">
                  <c:v>66.175217623742171</c:v>
                </c:pt>
                <c:pt idx="272">
                  <c:v>65.734246023297388</c:v>
                </c:pt>
                <c:pt idx="273">
                  <c:v>65.282887200382334</c:v>
                </c:pt>
                <c:pt idx="274">
                  <c:v>64.821056143245528</c:v>
                </c:pt>
                <c:pt idx="275">
                  <c:v>64.348671025501346</c:v>
                </c:pt>
                <c:pt idx="276">
                  <c:v>63.865653547133988</c:v>
                </c:pt>
                <c:pt idx="277">
                  <c:v>63.371929283733401</c:v>
                </c:pt>
                <c:pt idx="278">
                  <c:v>62.867428043005553</c:v>
                </c:pt>
                <c:pt idx="279">
                  <c:v>62.352084227438688</c:v>
                </c:pt>
                <c:pt idx="280">
                  <c:v>61.825837201867117</c:v>
                </c:pt>
                <c:pt idx="281">
                  <c:v>61.288631664506873</c:v>
                </c:pt>
                <c:pt idx="282">
                  <c:v>60.740418019881446</c:v>
                </c:pt>
                <c:pt idx="283">
                  <c:v>60.181152751885875</c:v>
                </c:pt>
                <c:pt idx="284">
                  <c:v>59.610798795074899</c:v>
                </c:pt>
                <c:pt idx="285">
                  <c:v>59.029325902087372</c:v>
                </c:pt>
                <c:pt idx="286">
                  <c:v>58.436711004962696</c:v>
                </c:pt>
                <c:pt idx="287">
                  <c:v>57.832938567934647</c:v>
                </c:pt>
                <c:pt idx="288">
                  <c:v>57.21800092914787</c:v>
                </c:pt>
                <c:pt idx="289">
                  <c:v>56.591898628586634</c:v>
                </c:pt>
                <c:pt idx="290">
                  <c:v>55.954640719387875</c:v>
                </c:pt>
                <c:pt idx="291">
                  <c:v>55.306245059585336</c:v>
                </c:pt>
                <c:pt idx="292">
                  <c:v>54.646738581250325</c:v>
                </c:pt>
                <c:pt idx="293">
                  <c:v>53.976157533910857</c:v>
                </c:pt>
                <c:pt idx="294">
                  <c:v>53.294547699098302</c:v>
                </c:pt>
                <c:pt idx="295">
                  <c:v>52.601964572842057</c:v>
                </c:pt>
                <c:pt idx="296">
                  <c:v>51.898473512961637</c:v>
                </c:pt>
                <c:pt idx="297">
                  <c:v>51.184149848051646</c:v>
                </c:pt>
                <c:pt idx="298">
                  <c:v>50.459078945144405</c:v>
                </c:pt>
                <c:pt idx="299">
                  <c:v>49.723356233170826</c:v>
                </c:pt>
                <c:pt idx="300">
                  <c:v>48.977087179507919</c:v>
                </c:pt>
                <c:pt idx="301">
                  <c:v>48.220387217119203</c:v>
                </c:pt>
                <c:pt idx="302">
                  <c:v>47.453381620056533</c:v>
                </c:pt>
                <c:pt idx="303">
                  <c:v>46.67620532538534</c:v>
                </c:pt>
                <c:pt idx="304">
                  <c:v>45.889002699952428</c:v>
                </c:pt>
                <c:pt idx="305">
                  <c:v>45.09192725079194</c:v>
                </c:pt>
                <c:pt idx="306">
                  <c:v>44.285141278382703</c:v>
                </c:pt>
                <c:pt idx="307">
                  <c:v>43.468815472451389</c:v>
                </c:pt>
                <c:pt idx="308">
                  <c:v>42.643128450455535</c:v>
                </c:pt>
                <c:pt idx="309">
                  <c:v>41.808266239440833</c:v>
                </c:pt>
                <c:pt idx="310">
                  <c:v>40.964421702451581</c:v>
                </c:pt>
                <c:pt idx="311">
                  <c:v>40.111793911226158</c:v>
                </c:pt>
                <c:pt idx="312">
                  <c:v>39.250587467446891</c:v>
                </c:pt>
                <c:pt idx="313">
                  <c:v>38.381011775342856</c:v>
                </c:pt>
                <c:pt idx="314">
                  <c:v>37.503280268957219</c:v>
                </c:pt>
                <c:pt idx="315">
                  <c:v>36.617609597897612</c:v>
                </c:pt>
                <c:pt idx="316">
                  <c:v>35.724218775845166</c:v>
                </c:pt>
                <c:pt idx="317">
                  <c:v>34.823328296520103</c:v>
                </c:pt>
                <c:pt idx="318">
                  <c:v>33.915159222195228</c:v>
                </c:pt>
                <c:pt idx="319">
                  <c:v>32.99993225016469</c:v>
                </c:pt>
                <c:pt idx="320">
                  <c:v>32.07786676284293</c:v>
                </c:pt>
                <c:pt idx="321">
                  <c:v>31.149179867383296</c:v>
                </c:pt>
                <c:pt idx="322">
                  <c:v>30.214085430835226</c:v>
                </c:pt>
                <c:pt idx="323">
                  <c:v>29.272793116920553</c:v>
                </c:pt>
                <c:pt idx="324">
                  <c:v>28.325507430520574</c:v>
                </c:pt>
                <c:pt idx="325">
                  <c:v>27.37242677587502</c:v>
                </c:pt>
                <c:pt idx="326">
                  <c:v>26.413742534364463</c:v>
                </c:pt>
                <c:pt idx="327">
                  <c:v>25.44963816751789</c:v>
                </c:pt>
                <c:pt idx="328">
                  <c:v>24.480288350642049</c:v>
                </c:pt>
                <c:pt idx="329">
                  <c:v>23.505858142111205</c:v>
                </c:pt>
                <c:pt idx="330">
                  <c:v>22.526502193004227</c:v>
                </c:pt>
                <c:pt idx="331">
                  <c:v>21.542364001329187</c:v>
                </c:pt>
                <c:pt idx="332">
                  <c:v>20.553575214644177</c:v>
                </c:pt>
                <c:pt idx="333">
                  <c:v>19.560254984366683</c:v>
                </c:pt>
                <c:pt idx="334">
                  <c:v>18.562509374599134</c:v>
                </c:pt>
                <c:pt idx="335">
                  <c:v>17.560430827742497</c:v>
                </c:pt>
                <c:pt idx="336">
                  <c:v>16.55409768869708</c:v>
                </c:pt>
                <c:pt idx="337">
                  <c:v>15.543573788900273</c:v>
                </c:pt>
                <c:pt idx="338">
                  <c:v>14.528908090984526</c:v>
                </c:pt>
                <c:pt idx="339">
                  <c:v>13.510134394347585</c:v>
                </c:pt>
                <c:pt idx="340">
                  <c:v>12.487271101481166</c:v>
                </c:pt>
                <c:pt idx="341">
                  <c:v>11.460321044483907</c:v>
                </c:pt>
                <c:pt idx="342">
                  <c:v>10.429271370806925</c:v>
                </c:pt>
                <c:pt idx="343">
                  <c:v>9.394093486933345</c:v>
                </c:pt>
                <c:pt idx="344">
                  <c:v>8.3547430583875606</c:v>
                </c:pt>
                <c:pt idx="345">
                  <c:v>7.3111600642261081</c:v>
                </c:pt>
                <c:pt idx="346">
                  <c:v>6.2632689039273064</c:v>
                </c:pt>
                <c:pt idx="347">
                  <c:v>5.2109785544550062</c:v>
                </c:pt>
                <c:pt idx="348">
                  <c:v>4.1541827751144993</c:v>
                </c:pt>
                <c:pt idx="349">
                  <c:v>3.0927603577618794</c:v>
                </c:pt>
                <c:pt idx="350">
                  <c:v>2.0265754198720027</c:v>
                </c:pt>
                <c:pt idx="351">
                  <c:v>0.95547773796186808</c:v>
                </c:pt>
                <c:pt idx="352">
                  <c:v>-0.12069688109693777</c:v>
                </c:pt>
                <c:pt idx="353">
                  <c:v>-1.2021261932846996</c:v>
                </c:pt>
                <c:pt idx="354">
                  <c:v>-2.2890010774876766</c:v>
                </c:pt>
                <c:pt idx="355">
                  <c:v>-3.3815250645936699</c:v>
                </c:pt>
                <c:pt idx="356">
                  <c:v>-4.4799138377166559</c:v>
                </c:pt>
                <c:pt idx="357">
                  <c:v>-5.5843947054521657</c:v>
                </c:pt>
                <c:pt idx="358">
                  <c:v>-6.6952060499329926</c:v>
                </c:pt>
                <c:pt idx="359">
                  <c:v>-7.8125967512447057</c:v>
                </c:pt>
                <c:pt idx="360">
                  <c:v>-8.9368255895997528</c:v>
                </c:pt>
                <c:pt idx="361">
                  <c:v>-10.068160626465581</c:v>
                </c:pt>
                <c:pt idx="362">
                  <c:v>-11.206878565652833</c:v>
                </c:pt>
                <c:pt idx="363">
                  <c:v>-12.353264095188848</c:v>
                </c:pt>
                <c:pt idx="364">
                  <c:v>-13.507609210601064</c:v>
                </c:pt>
                <c:pt idx="365">
                  <c:v>-14.67021252006481</c:v>
                </c:pt>
                <c:pt idx="366">
                  <c:v>-15.841378531702812</c:v>
                </c:pt>
                <c:pt idx="367">
                  <c:v>-17.021416923145853</c:v>
                </c:pt>
                <c:pt idx="368">
                  <c:v>-18.210641793336052</c:v>
                </c:pt>
                <c:pt idx="369">
                  <c:v>-19.409370896404475</c:v>
                </c:pt>
                <c:pt idx="370">
                  <c:v>-20.617924857340991</c:v>
                </c:pt>
                <c:pt idx="371">
                  <c:v>-21.836626369074825</c:v>
                </c:pt>
                <c:pt idx="372">
                  <c:v>-23.065799370498144</c:v>
                </c:pt>
                <c:pt idx="373">
                  <c:v>-24.305768204892445</c:v>
                </c:pt>
                <c:pt idx="374">
                  <c:v>-25.556856758194961</c:v>
                </c:pt>
                <c:pt idx="375">
                  <c:v>-26.819387576494389</c:v>
                </c:pt>
                <c:pt idx="376">
                  <c:v>-28.093680962167017</c:v>
                </c:pt>
                <c:pt idx="377">
                  <c:v>-29.380054048078222</c:v>
                </c:pt>
                <c:pt idx="378">
                  <c:v>-30.678819849325734</c:v>
                </c:pt>
                <c:pt idx="379">
                  <c:v>-31.990286292078885</c:v>
                </c:pt>
                <c:pt idx="380">
                  <c:v>-33.314755219161562</c:v>
                </c:pt>
                <c:pt idx="381">
                  <c:v>-34.652521372164792</c:v>
                </c:pt>
                <c:pt idx="382">
                  <c:v>-36.003871350019956</c:v>
                </c:pt>
                <c:pt idx="383">
                  <c:v>-37.369082544153294</c:v>
                </c:pt>
                <c:pt idx="384">
                  <c:v>-38.748422050551277</c:v>
                </c:pt>
                <c:pt idx="385">
                  <c:v>-40.14214555930208</c:v>
                </c:pt>
                <c:pt idx="386">
                  <c:v>-41.550496222454093</c:v>
                </c:pt>
                <c:pt idx="387">
                  <c:v>-42.973703501320252</c:v>
                </c:pt>
                <c:pt idx="388">
                  <c:v>-44.411981994678662</c:v>
                </c:pt>
                <c:pt idx="389">
                  <c:v>-45.865530249677875</c:v>
                </c:pt>
                <c:pt idx="390">
                  <c:v>-47.334529557613081</c:v>
                </c:pt>
                <c:pt idx="391">
                  <c:v>-48.819142737150671</c:v>
                </c:pt>
                <c:pt idx="392">
                  <c:v>-50.319512907985271</c:v>
                </c:pt>
                <c:pt idx="393">
                  <c:v>-51.835762258347174</c:v>
                </c:pt>
                <c:pt idx="394">
                  <c:v>-53.367990810244251</c:v>
                </c:pt>
                <c:pt idx="395">
                  <c:v>-54.91627518674948</c:v>
                </c:pt>
                <c:pt idx="396">
                  <c:v>-56.480667386154842</c:v>
                </c:pt>
                <c:pt idx="397">
                  <c:v>-58.06119356823897</c:v>
                </c:pt>
                <c:pt idx="398">
                  <c:v>-59.657852858392609</c:v>
                </c:pt>
                <c:pt idx="399">
                  <c:v>-61.270616175778464</c:v>
                </c:pt>
                <c:pt idx="400">
                  <c:v>-62.899425092146366</c:v>
                </c:pt>
                <c:pt idx="401">
                  <c:v>-64.544190728341178</c:v>
                </c:pt>
                <c:pt idx="402">
                  <c:v>-66.20479269590777</c:v>
                </c:pt>
                <c:pt idx="403">
                  <c:v>-67.881078091547749</c:v>
                </c:pt>
                <c:pt idx="404">
                  <c:v>-69.57286055247036</c:v>
                </c:pt>
                <c:pt idx="405">
                  <c:v>-71.279919380899983</c:v>
                </c:pt>
                <c:pt idx="406">
                  <c:v>-73.001998746193706</c:v>
                </c:pt>
                <c:pt idx="407">
                  <c:v>-74.738806973083825</c:v>
                </c:pt>
                <c:pt idx="408">
                  <c:v>-76.490015924593152</c:v>
                </c:pt>
                <c:pt idx="409">
                  <c:v>-78.255260488076047</c:v>
                </c:pt>
                <c:pt idx="410">
                  <c:v>-80.034138172659837</c:v>
                </c:pt>
                <c:pt idx="411">
                  <c:v>-81.826208826087012</c:v>
                </c:pt>
                <c:pt idx="412">
                  <c:v>-83.63099447855609</c:v>
                </c:pt>
                <c:pt idx="413">
                  <c:v>-85.447979320668978</c:v>
                </c:pt>
                <c:pt idx="414">
                  <c:v>-87.276609821971732</c:v>
                </c:pt>
                <c:pt idx="415">
                  <c:v>-89.116294995852712</c:v>
                </c:pt>
                <c:pt idx="416">
                  <c:v>-90.966406815724881</c:v>
                </c:pt>
                <c:pt idx="417">
                  <c:v>-92.826280786472196</c:v>
                </c:pt>
                <c:pt idx="418">
                  <c:v>-94.695216674098532</c:v>
                </c:pt>
                <c:pt idx="419">
                  <c:v>-96.572479395388442</c:v>
                </c:pt>
                <c:pt idx="420">
                  <c:v>-98.457300068160393</c:v>
                </c:pt>
                <c:pt idx="421">
                  <c:v>-100.34887722142111</c:v>
                </c:pt>
                <c:pt idx="422">
                  <c:v>-102.24637816338354</c:v>
                </c:pt>
                <c:pt idx="423">
                  <c:v>-104.14894050394686</c:v>
                </c:pt>
                <c:pt idx="424">
                  <c:v>-106.05567382682764</c:v>
                </c:pt>
                <c:pt idx="425">
                  <c:v>-107.96566150515842</c:v>
                </c:pt>
                <c:pt idx="426">
                  <c:v>-109.87796265298503</c:v>
                </c:pt>
                <c:pt idx="427">
                  <c:v>-111.79161420376147</c:v>
                </c:pt>
                <c:pt idx="428">
                  <c:v>-113.70563310568268</c:v>
                </c:pt>
                <c:pt idx="429">
                  <c:v>-115.61901862251185</c:v>
                </c:pt>
                <c:pt idx="430">
                  <c:v>-117.53075472744527</c:v>
                </c:pt>
                <c:pt idx="431">
                  <c:v>-119.43981257663835</c:v>
                </c:pt>
                <c:pt idx="432">
                  <c:v>-121.34515304814283</c:v>
                </c:pt>
                <c:pt idx="433">
                  <c:v>-123.24572933136474</c:v>
                </c:pt>
                <c:pt idx="434">
                  <c:v>-125.14048955160226</c:v>
                </c:pt>
                <c:pt idx="435">
                  <c:v>-127.02837941390479</c:v>
                </c:pt>
                <c:pt idx="436">
                  <c:v>-128.90834485031669</c:v>
                </c:pt>
                <c:pt idx="437">
                  <c:v>-130.77933465457374</c:v>
                </c:pt>
                <c:pt idx="438">
                  <c:v>-132.64030308853259</c:v>
                </c:pt>
                <c:pt idx="439">
                  <c:v>-134.4902124449651</c:v>
                </c:pt>
                <c:pt idx="440">
                  <c:v>-136.32803555189756</c:v>
                </c:pt>
                <c:pt idx="441">
                  <c:v>-138.1527582043839</c:v>
                </c:pt>
                <c:pt idx="442">
                  <c:v>-139.96338151043656</c:v>
                </c:pt>
                <c:pt idx="443">
                  <c:v>-141.75892413882866</c:v>
                </c:pt>
                <c:pt idx="444">
                  <c:v>-143.53842445760102</c:v>
                </c:pt>
                <c:pt idx="445">
                  <c:v>-145.30094255327501</c:v>
                </c:pt>
                <c:pt idx="446">
                  <c:v>-147.0455621220944</c:v>
                </c:pt>
                <c:pt idx="447">
                  <c:v>-148.77139222592763</c:v>
                </c:pt>
                <c:pt idx="448">
                  <c:v>-150.47756890687626</c:v>
                </c:pt>
                <c:pt idx="449">
                  <c:v>-152.16325665601065</c:v>
                </c:pt>
                <c:pt idx="450">
                  <c:v>-153.82764973308267</c:v>
                </c:pt>
                <c:pt idx="451">
                  <c:v>-155.46997333542541</c:v>
                </c:pt>
                <c:pt idx="452">
                  <c:v>-157.0894846156144</c:v>
                </c:pt>
                <c:pt idx="453">
                  <c:v>-158.68547354875264</c:v>
                </c:pt>
                <c:pt idx="454">
                  <c:v>-160.25726365146053</c:v>
                </c:pt>
                <c:pt idx="455">
                  <c:v>-161.80421255581331</c:v>
                </c:pt>
                <c:pt idx="456">
                  <c:v>-163.32571244250016</c:v>
                </c:pt>
                <c:pt idx="457">
                  <c:v>-164.82119033846399</c:v>
                </c:pt>
                <c:pt idx="458">
                  <c:v>-166.29010828509507</c:v>
                </c:pt>
                <c:pt idx="459">
                  <c:v>-167.73196338381914</c:v>
                </c:pt>
                <c:pt idx="460">
                  <c:v>-169.14628772652884</c:v>
                </c:pt>
                <c:pt idx="461">
                  <c:v>-170.53264821882271</c:v>
                </c:pt>
                <c:pt idx="462">
                  <c:v>-171.89064630441538</c:v>
                </c:pt>
                <c:pt idx="463">
                  <c:v>-173.21991759937339</c:v>
                </c:pt>
                <c:pt idx="464">
                  <c:v>-174.52013144501149</c:v>
                </c:pt>
                <c:pt idx="465">
                  <c:v>-175.79099038836281</c:v>
                </c:pt>
                <c:pt idx="466">
                  <c:v>-177.03222959913953</c:v>
                </c:pt>
                <c:pt idx="467">
                  <c:v>-178.2436162319753</c:v>
                </c:pt>
                <c:pt idx="468">
                  <c:v>-179.42494874258625</c:v>
                </c:pt>
                <c:pt idx="469">
                  <c:v>179.42394383378229</c:v>
                </c:pt>
                <c:pt idx="470">
                  <c:v>178.30320263357351</c:v>
                </c:pt>
                <c:pt idx="471">
                  <c:v>177.21293973811552</c:v>
                </c:pt>
                <c:pt idx="472">
                  <c:v>176.15323896155519</c:v>
                </c:pt>
                <c:pt idx="473">
                  <c:v>175.12415664672969</c:v>
                </c:pt>
                <c:pt idx="474">
                  <c:v>174.12572246270315</c:v>
                </c:pt>
                <c:pt idx="475">
                  <c:v>173.15794019820021</c:v>
                </c:pt>
                <c:pt idx="476">
                  <c:v>172.22078854574036</c:v>
                </c:pt>
                <c:pt idx="477">
                  <c:v>171.3142218718196</c:v>
                </c:pt>
                <c:pt idx="478">
                  <c:v>170.43817096907958</c:v>
                </c:pt>
                <c:pt idx="479">
                  <c:v>169.59254378697102</c:v>
                </c:pt>
                <c:pt idx="480">
                  <c:v>168.77722613799983</c:v>
                </c:pt>
                <c:pt idx="481">
                  <c:v>167.99208237722391</c:v>
                </c:pt>
                <c:pt idx="482">
                  <c:v>167.23695605322456</c:v>
                </c:pt>
                <c:pt idx="483">
                  <c:v>166.51167052934682</c:v>
                </c:pt>
                <c:pt idx="484">
                  <c:v>165.81602957452407</c:v>
                </c:pt>
                <c:pt idx="485">
                  <c:v>165.14981792354592</c:v>
                </c:pt>
                <c:pt idx="486">
                  <c:v>164.51280180711379</c:v>
                </c:pt>
                <c:pt idx="487">
                  <c:v>163.90472945251801</c:v>
                </c:pt>
                <c:pt idx="488">
                  <c:v>163.3253315562263</c:v>
                </c:pt>
                <c:pt idx="489">
                  <c:v>162.77432173009268</c:v>
                </c:pt>
                <c:pt idx="490">
                  <c:v>162.25139692330242</c:v>
                </c:pt>
                <c:pt idx="491">
                  <c:v>161.75623782252677</c:v>
                </c:pt>
                <c:pt idx="492">
                  <c:v>161.2885092330998</c:v>
                </c:pt>
                <c:pt idx="493">
                  <c:v>160.84786044431419</c:v>
                </c:pt>
                <c:pt idx="494">
                  <c:v>160.43392558219662</c:v>
                </c:pt>
                <c:pt idx="495">
                  <c:v>160.04632395332999</c:v>
                </c:pt>
                <c:pt idx="496">
                  <c:v>159.68466038346406</c:v>
                </c:pt>
                <c:pt idx="497">
                  <c:v>159.34852555477497</c:v>
                </c:pt>
                <c:pt idx="498">
                  <c:v>159.03749634571574</c:v>
                </c:pt>
                <c:pt idx="499">
                  <c:v>158.75113617741928</c:v>
                </c:pt>
                <c:pt idx="500">
                  <c:v>158.4889953705943</c:v>
                </c:pt>
                <c:pt idx="501">
                  <c:v>158.25061151677806</c:v>
                </c:pt>
                <c:pt idx="502">
                  <c:v>158.03550986767544</c:v>
                </c:pt>
                <c:pt idx="503">
                  <c:v>157.84320374613358</c:v>
                </c:pt>
                <c:pt idx="504">
                  <c:v>157.6731949820657</c:v>
                </c:pt>
                <c:pt idx="505">
                  <c:v>157.52497437634904</c:v>
                </c:pt>
                <c:pt idx="506">
                  <c:v>157.39802219538635</c:v>
                </c:pt>
                <c:pt idx="507">
                  <c:v>157.29180869863708</c:v>
                </c:pt>
                <c:pt idx="508">
                  <c:v>157.20579470099986</c:v>
                </c:pt>
                <c:pt idx="509">
                  <c:v>157.13943217146394</c:v>
                </c:pt>
                <c:pt idx="510">
                  <c:v>157.09216486894471</c:v>
                </c:pt>
                <c:pt idx="511">
                  <c:v>157.063429015704</c:v>
                </c:pt>
                <c:pt idx="512">
                  <c:v>157.05265400820227</c:v>
                </c:pt>
                <c:pt idx="513">
                  <c:v>157.05926316467654</c:v>
                </c:pt>
                <c:pt idx="514">
                  <c:v>157.08267450817911</c:v>
                </c:pt>
                <c:pt idx="515">
                  <c:v>157.12230158324778</c:v>
                </c:pt>
                <c:pt idx="516">
                  <c:v>157.17755430384116</c:v>
                </c:pt>
                <c:pt idx="517">
                  <c:v>157.24783982964212</c:v>
                </c:pt>
                <c:pt idx="518">
                  <c:v>157.33256346734413</c:v>
                </c:pt>
                <c:pt idx="519">
                  <c:v>157.43112959307683</c:v>
                </c:pt>
                <c:pt idx="520">
                  <c:v>157.54294259171897</c:v>
                </c:pt>
                <c:pt idx="521">
                  <c:v>157.66740780849273</c:v>
                </c:pt>
                <c:pt idx="522">
                  <c:v>157.80393250793287</c:v>
                </c:pt>
                <c:pt idx="523">
                  <c:v>157.95192683509873</c:v>
                </c:pt>
                <c:pt idx="524">
                  <c:v>158.11080477372323</c:v>
                </c:pt>
                <c:pt idx="525">
                  <c:v>158.27998509591401</c:v>
                </c:pt>
                <c:pt idx="526">
                  <c:v>158.45889229798556</c:v>
                </c:pt>
                <c:pt idx="527">
                  <c:v>158.64695751707544</c:v>
                </c:pt>
                <c:pt idx="528">
                  <c:v>158.84361942328576</c:v>
                </c:pt>
                <c:pt idx="529">
                  <c:v>159.04832508233068</c:v>
                </c:pt>
                <c:pt idx="530">
                  <c:v>159.26053078387</c:v>
                </c:pt>
                <c:pt idx="531">
                  <c:v>159.47970283106878</c:v>
                </c:pt>
                <c:pt idx="532">
                  <c:v>159.70531828725925</c:v>
                </c:pt>
                <c:pt idx="533">
                  <c:v>159.93686567600693</c:v>
                </c:pt>
                <c:pt idx="534">
                  <c:v>160.17384563131995</c:v>
                </c:pt>
                <c:pt idx="535">
                  <c:v>160.41577149523042</c:v>
                </c:pt>
                <c:pt idx="536">
                  <c:v>160.66216986046334</c:v>
                </c:pt>
                <c:pt idx="537">
                  <c:v>160.91258105642919</c:v>
                </c:pt>
                <c:pt idx="538">
                  <c:v>161.16655957728548</c:v>
                </c:pt>
                <c:pt idx="539">
                  <c:v>161.42367445132814</c:v>
                </c:pt>
                <c:pt idx="540">
                  <c:v>161.6835095514721</c:v>
                </c:pt>
                <c:pt idx="541">
                  <c:v>161.94566384706479</c:v>
                </c:pt>
              </c:numCache>
            </c:numRef>
          </c:yVal>
          <c:smooth val="1"/>
          <c:extLst>
            <c:ext xmlns:c16="http://schemas.microsoft.com/office/drawing/2014/chart" uri="{C3380CC4-5D6E-409C-BE32-E72D297353CC}">
              <c16:uniqueId val="{0000000B-2470-421C-8EF3-DF4BAC2DF802}"/>
            </c:ext>
          </c:extLst>
        </c:ser>
        <c:dLbls>
          <c:showLegendKey val="0"/>
          <c:showVal val="0"/>
          <c:showCatName val="0"/>
          <c:showSerName val="0"/>
          <c:showPercent val="0"/>
          <c:showBubbleSize val="0"/>
        </c:dLbls>
        <c:axId val="144838016"/>
        <c:axId val="144836096"/>
      </c:scatterChart>
      <c:valAx>
        <c:axId val="144369152"/>
        <c:scaling>
          <c:logBase val="10"/>
          <c:orientation val="minMax"/>
          <c:max val="2000000"/>
          <c:min val="1"/>
        </c:scaling>
        <c:delete val="0"/>
        <c:axPos val="b"/>
        <c:majorGridlines/>
        <c:minorGridlines/>
        <c:title>
          <c:tx>
            <c:rich>
              <a:bodyPr/>
              <a:lstStyle/>
              <a:p>
                <a:pPr>
                  <a:defRPr/>
                </a:pPr>
                <a:r>
                  <a:rPr lang="en-US"/>
                  <a:t>Frequency</a:t>
                </a:r>
                <a:r>
                  <a:rPr lang="en-US" baseline="0"/>
                  <a:t> (Hz)</a:t>
                </a:r>
                <a:endParaRPr lang="en-US"/>
              </a:p>
            </c:rich>
          </c:tx>
          <c:overlay val="0"/>
        </c:title>
        <c:numFmt formatCode="0" sourceLinked="0"/>
        <c:majorTickMark val="out"/>
        <c:minorTickMark val="none"/>
        <c:tickLblPos val="low"/>
        <c:txPr>
          <a:bodyPr/>
          <a:lstStyle/>
          <a:p>
            <a:pPr>
              <a:defRPr b="1"/>
            </a:pPr>
            <a:endParaRPr lang="en-US"/>
          </a:p>
        </c:txPr>
        <c:crossAx val="144371072"/>
        <c:crosses val="autoZero"/>
        <c:crossBetween val="midCat"/>
      </c:valAx>
      <c:valAx>
        <c:axId val="144371072"/>
        <c:scaling>
          <c:orientation val="minMax"/>
          <c:max val="60"/>
          <c:min val="-60"/>
        </c:scaling>
        <c:delete val="0"/>
        <c:axPos val="l"/>
        <c:majorGridlines/>
        <c:minorGridlines/>
        <c:title>
          <c:tx>
            <c:rich>
              <a:bodyPr rot="-5400000" vert="horz"/>
              <a:lstStyle/>
              <a:p>
                <a:pPr>
                  <a:defRPr/>
                </a:pPr>
                <a:r>
                  <a:rPr lang="en-US">
                    <a:solidFill>
                      <a:srgbClr val="FF0000"/>
                    </a:solidFill>
                  </a:rPr>
                  <a:t>Gain</a:t>
                </a:r>
                <a:r>
                  <a:rPr lang="en-US" baseline="0">
                    <a:solidFill>
                      <a:srgbClr val="FF0000"/>
                    </a:solidFill>
                  </a:rPr>
                  <a:t> (dB)</a:t>
                </a:r>
                <a:endParaRPr lang="en-US">
                  <a:solidFill>
                    <a:srgbClr val="FF0000"/>
                  </a:solidFill>
                </a:endParaRPr>
              </a:p>
            </c:rich>
          </c:tx>
          <c:overlay val="0"/>
        </c:title>
        <c:numFmt formatCode="General" sourceLinked="0"/>
        <c:majorTickMark val="out"/>
        <c:minorTickMark val="none"/>
        <c:tickLblPos val="nextTo"/>
        <c:txPr>
          <a:bodyPr/>
          <a:lstStyle/>
          <a:p>
            <a:pPr>
              <a:defRPr b="1">
                <a:solidFill>
                  <a:srgbClr val="FF0000"/>
                </a:solidFill>
              </a:defRPr>
            </a:pPr>
            <a:endParaRPr lang="en-US"/>
          </a:p>
        </c:txPr>
        <c:crossAx val="144369152"/>
        <c:crosses val="autoZero"/>
        <c:crossBetween val="midCat"/>
        <c:majorUnit val="20"/>
        <c:minorUnit val="10"/>
      </c:valAx>
      <c:valAx>
        <c:axId val="144836096"/>
        <c:scaling>
          <c:orientation val="minMax"/>
          <c:max val="180"/>
          <c:min val="-180"/>
        </c:scaling>
        <c:delete val="0"/>
        <c:axPos val="r"/>
        <c:title>
          <c:tx>
            <c:rich>
              <a:bodyPr rot="-5400000" vert="horz"/>
              <a:lstStyle/>
              <a:p>
                <a:pPr>
                  <a:defRPr/>
                </a:pPr>
                <a:r>
                  <a:rPr lang="en-US"/>
                  <a:t>Phase (deg)</a:t>
                </a:r>
              </a:p>
            </c:rich>
          </c:tx>
          <c:overlay val="0"/>
        </c:title>
        <c:numFmt formatCode="General" sourceLinked="1"/>
        <c:majorTickMark val="out"/>
        <c:minorTickMark val="none"/>
        <c:tickLblPos val="nextTo"/>
        <c:txPr>
          <a:bodyPr/>
          <a:lstStyle/>
          <a:p>
            <a:pPr>
              <a:defRPr b="1">
                <a:solidFill>
                  <a:schemeClr val="tx1">
                    <a:lumMod val="95000"/>
                    <a:lumOff val="5000"/>
                  </a:schemeClr>
                </a:solidFill>
              </a:defRPr>
            </a:pPr>
            <a:endParaRPr lang="en-US"/>
          </a:p>
        </c:txPr>
        <c:crossAx val="144838016"/>
        <c:crosses val="max"/>
        <c:crossBetween val="midCat"/>
        <c:majorUnit val="90"/>
        <c:minorUnit val="45"/>
      </c:valAx>
      <c:valAx>
        <c:axId val="144838016"/>
        <c:scaling>
          <c:logBase val="10"/>
          <c:orientation val="minMax"/>
        </c:scaling>
        <c:delete val="1"/>
        <c:axPos val="b"/>
        <c:numFmt formatCode="0.00" sourceLinked="1"/>
        <c:majorTickMark val="out"/>
        <c:minorTickMark val="none"/>
        <c:tickLblPos val="nextTo"/>
        <c:crossAx val="144836096"/>
        <c:crosses val="autoZero"/>
        <c:crossBetween val="midCat"/>
      </c:valAx>
    </c:plotArea>
    <c:legend>
      <c:legendPos val="r"/>
      <c:legendEntry>
        <c:idx val="1"/>
        <c:delete val="1"/>
      </c:legendEntry>
      <c:legendEntry>
        <c:idx val="2"/>
        <c:delete val="1"/>
      </c:legendEntry>
      <c:legendEntry>
        <c:idx val="3"/>
        <c:delete val="1"/>
      </c:legendEntry>
      <c:legendEntry>
        <c:idx val="4"/>
        <c:delete val="1"/>
      </c:legendEntry>
      <c:legendEntry>
        <c:idx val="5"/>
        <c:delete val="1"/>
      </c:legendEntry>
      <c:layout>
        <c:manualLayout>
          <c:xMode val="edge"/>
          <c:yMode val="edge"/>
          <c:x val="0.61392536510371165"/>
          <c:y val="7.0381012799940294E-3"/>
          <c:w val="0.28497500584606611"/>
          <c:h val="7.9643865606846526E-2"/>
        </c:manualLayout>
      </c:layout>
      <c:overlay val="1"/>
    </c:legend>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TW"/>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2400"/>
            </a:pPr>
            <a:r>
              <a:rPr lang="el-GR" sz="2400"/>
              <a:t>η</a:t>
            </a:r>
            <a:endParaRPr lang="en-US" sz="2400"/>
          </a:p>
        </c:rich>
      </c:tx>
      <c:layout>
        <c:manualLayout>
          <c:xMode val="edge"/>
          <c:yMode val="edge"/>
          <c:x val="9.2321838295158831E-2"/>
          <c:y val="6.7069081153588199E-3"/>
        </c:manualLayout>
      </c:layout>
      <c:overlay val="1"/>
    </c:title>
    <c:autoTitleDeleted val="0"/>
    <c:plotArea>
      <c:layout>
        <c:manualLayout>
          <c:layoutTarget val="inner"/>
          <c:xMode val="edge"/>
          <c:yMode val="edge"/>
          <c:x val="9.4343575816580413E-2"/>
          <c:y val="0.12777504924560487"/>
          <c:w val="0.82170691922728745"/>
          <c:h val="0.74982770867653059"/>
        </c:manualLayout>
      </c:layout>
      <c:scatterChart>
        <c:scatterStyle val="smoothMarker"/>
        <c:varyColors val="0"/>
        <c:ser>
          <c:idx val="0"/>
          <c:order val="0"/>
          <c:tx>
            <c:v>Eff</c:v>
          </c:tx>
          <c:spPr>
            <a:ln>
              <a:solidFill>
                <a:srgbClr val="FF0000"/>
              </a:solidFill>
            </a:ln>
          </c:spPr>
          <c:marker>
            <c:symbol val="none"/>
          </c:marker>
          <c:xVal>
            <c:numRef>
              <c:f>Eff_vs_IOUT!$S$7:$S$157</c:f>
              <c:numCache>
                <c:formatCode>General</c:formatCode>
                <c:ptCount val="151"/>
                <c:pt idx="0">
                  <c:v>0</c:v>
                </c:pt>
                <c:pt idx="1">
                  <c:v>3.3333333333333335E-3</c:v>
                </c:pt>
                <c:pt idx="2">
                  <c:v>6.6666666666666671E-3</c:v>
                </c:pt>
                <c:pt idx="3">
                  <c:v>0.01</c:v>
                </c:pt>
                <c:pt idx="4">
                  <c:v>1.3333333333333334E-2</c:v>
                </c:pt>
                <c:pt idx="5">
                  <c:v>1.6666666666666666E-2</c:v>
                </c:pt>
                <c:pt idx="6">
                  <c:v>0.02</c:v>
                </c:pt>
                <c:pt idx="7">
                  <c:v>2.3333333333333334E-2</c:v>
                </c:pt>
                <c:pt idx="8">
                  <c:v>2.6666666666666668E-2</c:v>
                </c:pt>
                <c:pt idx="9">
                  <c:v>3.0000000000000002E-2</c:v>
                </c:pt>
                <c:pt idx="10">
                  <c:v>3.3333333333333333E-2</c:v>
                </c:pt>
                <c:pt idx="11">
                  <c:v>3.6666666666666667E-2</c:v>
                </c:pt>
                <c:pt idx="12">
                  <c:v>0.04</c:v>
                </c:pt>
                <c:pt idx="13">
                  <c:v>4.3333333333333335E-2</c:v>
                </c:pt>
                <c:pt idx="14">
                  <c:v>4.6666666666666669E-2</c:v>
                </c:pt>
                <c:pt idx="15">
                  <c:v>0.05</c:v>
                </c:pt>
                <c:pt idx="16">
                  <c:v>5.3333333333333337E-2</c:v>
                </c:pt>
                <c:pt idx="17">
                  <c:v>5.6666666666666671E-2</c:v>
                </c:pt>
                <c:pt idx="18">
                  <c:v>6.0000000000000005E-2</c:v>
                </c:pt>
                <c:pt idx="19">
                  <c:v>6.3333333333333339E-2</c:v>
                </c:pt>
                <c:pt idx="20">
                  <c:v>6.6666666666666666E-2</c:v>
                </c:pt>
                <c:pt idx="21">
                  <c:v>7.0000000000000007E-2</c:v>
                </c:pt>
                <c:pt idx="22">
                  <c:v>7.3333333333333334E-2</c:v>
                </c:pt>
                <c:pt idx="23">
                  <c:v>7.6666666666666675E-2</c:v>
                </c:pt>
                <c:pt idx="24">
                  <c:v>0.08</c:v>
                </c:pt>
                <c:pt idx="25">
                  <c:v>8.3333333333333343E-2</c:v>
                </c:pt>
                <c:pt idx="26">
                  <c:v>8.666666666666667E-2</c:v>
                </c:pt>
                <c:pt idx="27">
                  <c:v>9.0000000000000011E-2</c:v>
                </c:pt>
                <c:pt idx="28">
                  <c:v>9.3333333333333338E-2</c:v>
                </c:pt>
                <c:pt idx="29">
                  <c:v>9.6666666666666679E-2</c:v>
                </c:pt>
                <c:pt idx="30">
                  <c:v>0.1</c:v>
                </c:pt>
                <c:pt idx="31">
                  <c:v>0.10333333333333335</c:v>
                </c:pt>
                <c:pt idx="32">
                  <c:v>0.10666666666666667</c:v>
                </c:pt>
                <c:pt idx="33">
                  <c:v>0.11</c:v>
                </c:pt>
                <c:pt idx="34">
                  <c:v>0.11333333333333334</c:v>
                </c:pt>
                <c:pt idx="35">
                  <c:v>0.11666666666666667</c:v>
                </c:pt>
                <c:pt idx="36">
                  <c:v>0.12000000000000001</c:v>
                </c:pt>
                <c:pt idx="37">
                  <c:v>0.12333333333333334</c:v>
                </c:pt>
                <c:pt idx="38">
                  <c:v>0.12666666666666668</c:v>
                </c:pt>
                <c:pt idx="39">
                  <c:v>0.13</c:v>
                </c:pt>
                <c:pt idx="40">
                  <c:v>0.13333333333333333</c:v>
                </c:pt>
                <c:pt idx="41">
                  <c:v>0.13666666666666669</c:v>
                </c:pt>
                <c:pt idx="42">
                  <c:v>0.14000000000000001</c:v>
                </c:pt>
                <c:pt idx="43">
                  <c:v>0.14333333333333334</c:v>
                </c:pt>
                <c:pt idx="44">
                  <c:v>0.14666666666666667</c:v>
                </c:pt>
                <c:pt idx="45">
                  <c:v>0.15000000000000002</c:v>
                </c:pt>
                <c:pt idx="46">
                  <c:v>0.15333333333333335</c:v>
                </c:pt>
                <c:pt idx="47">
                  <c:v>0.15666666666666668</c:v>
                </c:pt>
                <c:pt idx="48">
                  <c:v>0.16</c:v>
                </c:pt>
                <c:pt idx="49">
                  <c:v>0.16333333333333333</c:v>
                </c:pt>
                <c:pt idx="50">
                  <c:v>0.16666666666666669</c:v>
                </c:pt>
                <c:pt idx="51">
                  <c:v>0.17</c:v>
                </c:pt>
                <c:pt idx="52">
                  <c:v>0.17333333333333334</c:v>
                </c:pt>
                <c:pt idx="53">
                  <c:v>0.17666666666666667</c:v>
                </c:pt>
                <c:pt idx="54">
                  <c:v>0.18000000000000002</c:v>
                </c:pt>
                <c:pt idx="55">
                  <c:v>0.18333333333333335</c:v>
                </c:pt>
                <c:pt idx="56">
                  <c:v>0.18666666666666668</c:v>
                </c:pt>
                <c:pt idx="57">
                  <c:v>0.19</c:v>
                </c:pt>
                <c:pt idx="58">
                  <c:v>0.19333333333333336</c:v>
                </c:pt>
                <c:pt idx="59">
                  <c:v>0.19666666666666668</c:v>
                </c:pt>
                <c:pt idx="60">
                  <c:v>0.2</c:v>
                </c:pt>
                <c:pt idx="61">
                  <c:v>0.20333333333333334</c:v>
                </c:pt>
                <c:pt idx="62">
                  <c:v>0.20666666666666669</c:v>
                </c:pt>
                <c:pt idx="63">
                  <c:v>0.21000000000000002</c:v>
                </c:pt>
                <c:pt idx="64">
                  <c:v>0.21333333333333335</c:v>
                </c:pt>
                <c:pt idx="65">
                  <c:v>0.21666666666666667</c:v>
                </c:pt>
                <c:pt idx="66">
                  <c:v>0.22</c:v>
                </c:pt>
                <c:pt idx="67">
                  <c:v>0.22333333333333336</c:v>
                </c:pt>
                <c:pt idx="68">
                  <c:v>0.22666666666666668</c:v>
                </c:pt>
                <c:pt idx="69">
                  <c:v>0.23</c:v>
                </c:pt>
                <c:pt idx="70">
                  <c:v>0.23333333333333334</c:v>
                </c:pt>
                <c:pt idx="71">
                  <c:v>0.23666666666666669</c:v>
                </c:pt>
                <c:pt idx="72">
                  <c:v>0.24000000000000002</c:v>
                </c:pt>
                <c:pt idx="73">
                  <c:v>0.24333333333333335</c:v>
                </c:pt>
                <c:pt idx="74">
                  <c:v>0.24666666666666667</c:v>
                </c:pt>
                <c:pt idx="75">
                  <c:v>0.25</c:v>
                </c:pt>
                <c:pt idx="76">
                  <c:v>0.25333333333333335</c:v>
                </c:pt>
                <c:pt idx="77">
                  <c:v>0.25666666666666671</c:v>
                </c:pt>
                <c:pt idx="78">
                  <c:v>0.26</c:v>
                </c:pt>
                <c:pt idx="79">
                  <c:v>0.26333333333333336</c:v>
                </c:pt>
                <c:pt idx="80">
                  <c:v>0.26666666666666666</c:v>
                </c:pt>
                <c:pt idx="81">
                  <c:v>0.27</c:v>
                </c:pt>
                <c:pt idx="82">
                  <c:v>0.27333333333333337</c:v>
                </c:pt>
                <c:pt idx="83">
                  <c:v>0.27666666666666667</c:v>
                </c:pt>
                <c:pt idx="84">
                  <c:v>0.28000000000000003</c:v>
                </c:pt>
                <c:pt idx="85">
                  <c:v>0.28333333333333333</c:v>
                </c:pt>
                <c:pt idx="86">
                  <c:v>0.28666666666666668</c:v>
                </c:pt>
                <c:pt idx="87">
                  <c:v>0.29000000000000004</c:v>
                </c:pt>
                <c:pt idx="88">
                  <c:v>0.29333333333333333</c:v>
                </c:pt>
                <c:pt idx="89">
                  <c:v>0.29666666666666669</c:v>
                </c:pt>
                <c:pt idx="90">
                  <c:v>0.30000000000000004</c:v>
                </c:pt>
                <c:pt idx="91">
                  <c:v>0.30333333333333334</c:v>
                </c:pt>
                <c:pt idx="92">
                  <c:v>0.3066666666666667</c:v>
                </c:pt>
                <c:pt idx="93">
                  <c:v>0.31</c:v>
                </c:pt>
                <c:pt idx="94">
                  <c:v>0.31333333333333335</c:v>
                </c:pt>
                <c:pt idx="95">
                  <c:v>0.31666666666666671</c:v>
                </c:pt>
                <c:pt idx="96">
                  <c:v>0.32</c:v>
                </c:pt>
                <c:pt idx="97">
                  <c:v>0.32333333333333336</c:v>
                </c:pt>
                <c:pt idx="98">
                  <c:v>0.32666666666666666</c:v>
                </c:pt>
                <c:pt idx="99">
                  <c:v>0.33</c:v>
                </c:pt>
                <c:pt idx="100">
                  <c:v>0.33333333333333337</c:v>
                </c:pt>
                <c:pt idx="101">
                  <c:v>0.33666666666666667</c:v>
                </c:pt>
                <c:pt idx="102">
                  <c:v>0.34</c:v>
                </c:pt>
                <c:pt idx="103">
                  <c:v>0.34333333333333338</c:v>
                </c:pt>
                <c:pt idx="104">
                  <c:v>0.34666666666666668</c:v>
                </c:pt>
                <c:pt idx="105">
                  <c:v>0.35000000000000003</c:v>
                </c:pt>
                <c:pt idx="106">
                  <c:v>0.35333333333333333</c:v>
                </c:pt>
                <c:pt idx="107">
                  <c:v>0.35666666666666669</c:v>
                </c:pt>
                <c:pt idx="108">
                  <c:v>0.36000000000000004</c:v>
                </c:pt>
                <c:pt idx="109">
                  <c:v>0.36333333333333334</c:v>
                </c:pt>
                <c:pt idx="110">
                  <c:v>0.3666666666666667</c:v>
                </c:pt>
                <c:pt idx="111">
                  <c:v>0.37000000000000005</c:v>
                </c:pt>
                <c:pt idx="112">
                  <c:v>0.37333333333333335</c:v>
                </c:pt>
                <c:pt idx="113">
                  <c:v>0.37666666666666671</c:v>
                </c:pt>
                <c:pt idx="114">
                  <c:v>0.38</c:v>
                </c:pt>
                <c:pt idx="115">
                  <c:v>0.38333333333333336</c:v>
                </c:pt>
                <c:pt idx="116">
                  <c:v>0.38666666666666671</c:v>
                </c:pt>
                <c:pt idx="117">
                  <c:v>0.39</c:v>
                </c:pt>
                <c:pt idx="118">
                  <c:v>0.39333333333333337</c:v>
                </c:pt>
                <c:pt idx="119">
                  <c:v>0.39666666666666667</c:v>
                </c:pt>
                <c:pt idx="120">
                  <c:v>0.4</c:v>
                </c:pt>
                <c:pt idx="121">
                  <c:v>0.40333333333333338</c:v>
                </c:pt>
                <c:pt idx="122">
                  <c:v>0.40666666666666668</c:v>
                </c:pt>
                <c:pt idx="123">
                  <c:v>0.41000000000000003</c:v>
                </c:pt>
                <c:pt idx="124">
                  <c:v>0.41333333333333339</c:v>
                </c:pt>
                <c:pt idx="125">
                  <c:v>0.41666666666666669</c:v>
                </c:pt>
                <c:pt idx="126">
                  <c:v>0.42000000000000004</c:v>
                </c:pt>
                <c:pt idx="127">
                  <c:v>0.42333333333333334</c:v>
                </c:pt>
                <c:pt idx="128">
                  <c:v>0.42666666666666669</c:v>
                </c:pt>
                <c:pt idx="129">
                  <c:v>0.43000000000000005</c:v>
                </c:pt>
                <c:pt idx="130">
                  <c:v>0.43333333333333335</c:v>
                </c:pt>
                <c:pt idx="131">
                  <c:v>0.4366666666666667</c:v>
                </c:pt>
                <c:pt idx="132">
                  <c:v>0.44</c:v>
                </c:pt>
                <c:pt idx="133">
                  <c:v>0.44333333333333336</c:v>
                </c:pt>
                <c:pt idx="134">
                  <c:v>0.44666666666666671</c:v>
                </c:pt>
                <c:pt idx="135">
                  <c:v>0.45</c:v>
                </c:pt>
                <c:pt idx="136">
                  <c:v>0.45333333333333337</c:v>
                </c:pt>
                <c:pt idx="137">
                  <c:v>0.45666666666666672</c:v>
                </c:pt>
                <c:pt idx="138">
                  <c:v>0.46</c:v>
                </c:pt>
                <c:pt idx="139">
                  <c:v>0.46333333333333337</c:v>
                </c:pt>
                <c:pt idx="140">
                  <c:v>0.46666666666666667</c:v>
                </c:pt>
                <c:pt idx="141">
                  <c:v>0.47000000000000003</c:v>
                </c:pt>
                <c:pt idx="142">
                  <c:v>0.47333333333333338</c:v>
                </c:pt>
                <c:pt idx="143">
                  <c:v>0.47666666666666668</c:v>
                </c:pt>
                <c:pt idx="144">
                  <c:v>0.48000000000000004</c:v>
                </c:pt>
                <c:pt idx="145">
                  <c:v>0.48333333333333334</c:v>
                </c:pt>
                <c:pt idx="146">
                  <c:v>0.48666666666666669</c:v>
                </c:pt>
                <c:pt idx="147">
                  <c:v>0.49000000000000005</c:v>
                </c:pt>
                <c:pt idx="148">
                  <c:v>0.49333333333333335</c:v>
                </c:pt>
                <c:pt idx="149">
                  <c:v>0.4966666666666667</c:v>
                </c:pt>
                <c:pt idx="150">
                  <c:v>0.5</c:v>
                </c:pt>
              </c:numCache>
            </c:numRef>
          </c:xVal>
          <c:yVal>
            <c:numRef>
              <c:f>Eff_vs_IOUT!$AT$7:$AT$157</c:f>
              <c:numCache>
                <c:formatCode>General</c:formatCode>
                <c:ptCount val="151"/>
                <c:pt idx="0">
                  <c:v>0</c:v>
                </c:pt>
                <c:pt idx="1">
                  <c:v>31.890746358682115</c:v>
                </c:pt>
                <c:pt idx="2">
                  <c:v>48.130228536253192</c:v>
                </c:pt>
                <c:pt idx="3">
                  <c:v>57.969441816380595</c:v>
                </c:pt>
                <c:pt idx="4">
                  <c:v>64.56885353811947</c:v>
                </c:pt>
                <c:pt idx="5">
                  <c:v>69.302213995444646</c:v>
                </c:pt>
                <c:pt idx="6">
                  <c:v>72.862805764574901</c:v>
                </c:pt>
                <c:pt idx="7">
                  <c:v>75.638338668367467</c:v>
                </c:pt>
                <c:pt idx="8">
                  <c:v>77.862593690326293</c:v>
                </c:pt>
                <c:pt idx="9">
                  <c:v>79.684915344412531</c:v>
                </c:pt>
                <c:pt idx="10">
                  <c:v>81.205174655327568</c:v>
                </c:pt>
                <c:pt idx="11">
                  <c:v>82.492688258754342</c:v>
                </c:pt>
                <c:pt idx="12">
                  <c:v>83.597072620049559</c:v>
                </c:pt>
                <c:pt idx="13">
                  <c:v>84.554778189969255</c:v>
                </c:pt>
                <c:pt idx="14">
                  <c:v>85.393184682930823</c:v>
                </c:pt>
                <c:pt idx="15">
                  <c:v>86.133257302776158</c:v>
                </c:pt>
                <c:pt idx="16">
                  <c:v>86.791321223726939</c:v>
                </c:pt>
                <c:pt idx="17">
                  <c:v>87.380277902992603</c:v>
                </c:pt>
                <c:pt idx="18">
                  <c:v>87.910457855102123</c:v>
                </c:pt>
                <c:pt idx="19">
                  <c:v>88.39023063722334</c:v>
                </c:pt>
                <c:pt idx="20">
                  <c:v>88.826449035025263</c:v>
                </c:pt>
                <c:pt idx="21">
                  <c:v>89.224777746582248</c:v>
                </c:pt>
                <c:pt idx="22">
                  <c:v>89.58994014809349</c:v>
                </c:pt>
                <c:pt idx="23">
                  <c:v>89.925906010421016</c:v>
                </c:pt>
                <c:pt idx="24">
                  <c:v>90.236036018983043</c:v>
                </c:pt>
                <c:pt idx="25">
                  <c:v>90.52319426543221</c:v>
                </c:pt>
                <c:pt idx="26">
                  <c:v>90.78983669703679</c:v>
                </c:pt>
                <c:pt idx="27">
                  <c:v>91.038081312309458</c:v>
                </c:pt>
                <c:pt idx="28">
                  <c:v>91.269764351631409</c:v>
                </c:pt>
                <c:pt idx="29">
                  <c:v>91.48648563778832</c:v>
                </c:pt>
                <c:pt idx="30">
                  <c:v>91.689645434427874</c:v>
                </c:pt>
                <c:pt idx="31">
                  <c:v>91.880474617671297</c:v>
                </c:pt>
                <c:pt idx="32">
                  <c:v>92.060059534619867</c:v>
                </c:pt>
                <c:pt idx="33">
                  <c:v>92.229362609160432</c:v>
                </c:pt>
                <c:pt idx="34">
                  <c:v>92.389239520310198</c:v>
                </c:pt>
                <c:pt idx="35">
                  <c:v>92.540453600264925</c:v>
                </c:pt>
                <c:pt idx="36">
                  <c:v>92.683687963332531</c:v>
                </c:pt>
                <c:pt idx="37">
                  <c:v>92.819555772272849</c:v>
                </c:pt>
                <c:pt idx="38">
                  <c:v>92.911096295170367</c:v>
                </c:pt>
                <c:pt idx="39">
                  <c:v>93.033141995527231</c:v>
                </c:pt>
                <c:pt idx="40">
                  <c:v>93.149284087511731</c:v>
                </c:pt>
                <c:pt idx="41">
                  <c:v>93.259933638512749</c:v>
                </c:pt>
                <c:pt idx="42">
                  <c:v>93.365464418781784</c:v>
                </c:pt>
                <c:pt idx="43">
                  <c:v>93.466217037684174</c:v>
                </c:pt>
                <c:pt idx="44">
                  <c:v>93.562502541442214</c:v>
                </c:pt>
                <c:pt idx="45">
                  <c:v>93.654605552427611</c:v>
                </c:pt>
                <c:pt idx="46">
                  <c:v>93.742787016741588</c:v>
                </c:pt>
                <c:pt idx="47">
                  <c:v>93.827286615944061</c:v>
                </c:pt>
                <c:pt idx="48">
                  <c:v>93.908324889869917</c:v>
                </c:pt>
                <c:pt idx="49">
                  <c:v>93.986105110121599</c:v>
                </c:pt>
                <c:pt idx="50">
                  <c:v>94.060814937744624</c:v>
                </c:pt>
                <c:pt idx="51">
                  <c:v>94.132627893544864</c:v>
                </c:pt>
                <c:pt idx="52">
                  <c:v>94.201704665295892</c:v>
                </c:pt>
                <c:pt idx="53">
                  <c:v>94.268194272563804</c:v>
                </c:pt>
                <c:pt idx="54">
                  <c:v>94.332235106919882</c:v>
                </c:pt>
                <c:pt idx="55">
                  <c:v>94.393955862821727</c:v>
                </c:pt>
                <c:pt idx="56">
                  <c:v>94.453476372338159</c:v>
                </c:pt>
                <c:pt idx="57">
                  <c:v>94.510908355110161</c:v>
                </c:pt>
                <c:pt idx="58">
                  <c:v>94.566356093422428</c:v>
                </c:pt>
                <c:pt idx="59">
                  <c:v>94.619917040967806</c:v>
                </c:pt>
                <c:pt idx="60">
                  <c:v>94.671682372780182</c:v>
                </c:pt>
                <c:pt idx="61">
                  <c:v>94.721737482863972</c:v>
                </c:pt>
                <c:pt idx="62">
                  <c:v>94.770162435233274</c:v>
                </c:pt>
                <c:pt idx="63">
                  <c:v>94.81703237337139</c:v>
                </c:pt>
                <c:pt idx="64">
                  <c:v>94.862417892514983</c:v>
                </c:pt>
                <c:pt idx="65">
                  <c:v>94.906385378642085</c:v>
                </c:pt>
                <c:pt idx="66">
                  <c:v>94.948997317586873</c:v>
                </c:pt>
                <c:pt idx="67">
                  <c:v>94.990312577308217</c:v>
                </c:pt>
                <c:pt idx="68">
                  <c:v>95.030386665993589</c:v>
                </c:pt>
                <c:pt idx="69">
                  <c:v>95.069271968377407</c:v>
                </c:pt>
                <c:pt idx="70">
                  <c:v>95.107017962389705</c:v>
                </c:pt>
                <c:pt idx="71">
                  <c:v>95.143671418018954</c:v>
                </c:pt>
                <c:pt idx="72">
                  <c:v>95.179276580069427</c:v>
                </c:pt>
                <c:pt idx="73">
                  <c:v>95.213875336314828</c:v>
                </c:pt>
                <c:pt idx="74">
                  <c:v>95.247507372391354</c:v>
                </c:pt>
                <c:pt idx="75">
                  <c:v>95.280210314634758</c:v>
                </c:pt>
                <c:pt idx="76">
                  <c:v>95.312019861942005</c:v>
                </c:pt>
                <c:pt idx="77">
                  <c:v>95.342969907628785</c:v>
                </c:pt>
                <c:pt idx="78">
                  <c:v>95.373092652157723</c:v>
                </c:pt>
                <c:pt idx="79">
                  <c:v>95.402418707524973</c:v>
                </c:pt>
                <c:pt idx="80">
                  <c:v>95.430977194016947</c:v>
                </c:pt>
                <c:pt idx="81">
                  <c:v>95.458795829979564</c:v>
                </c:pt>
                <c:pt idx="82">
                  <c:v>95.485901015182137</c:v>
                </c:pt>
                <c:pt idx="83">
                  <c:v>95.512317908302606</c:v>
                </c:pt>
                <c:pt idx="84">
                  <c:v>95.538070499012122</c:v>
                </c:pt>
                <c:pt idx="85">
                  <c:v>95.563181675093318</c:v>
                </c:pt>
                <c:pt idx="86">
                  <c:v>95.587673284986721</c:v>
                </c:pt>
                <c:pt idx="87">
                  <c:v>95.611566196124485</c:v>
                </c:pt>
                <c:pt idx="88">
                  <c:v>95.63488034937923</c:v>
                </c:pt>
                <c:pt idx="89">
                  <c:v>95.657634809925796</c:v>
                </c:pt>
                <c:pt idx="90">
                  <c:v>95.679847814789383</c:v>
                </c:pt>
                <c:pt idx="91">
                  <c:v>95.701536817328702</c:v>
                </c:pt>
                <c:pt idx="92">
                  <c:v>95.72271852888241</c:v>
                </c:pt>
                <c:pt idx="93">
                  <c:v>95.743408957787551</c:v>
                </c:pt>
                <c:pt idx="94">
                  <c:v>95.76362344596167</c:v>
                </c:pt>
                <c:pt idx="95">
                  <c:v>95.783376703223936</c:v>
                </c:pt>
                <c:pt idx="96">
                  <c:v>95.802682839516933</c:v>
                </c:pt>
                <c:pt idx="97">
                  <c:v>95.821555395177256</c:v>
                </c:pt>
                <c:pt idx="98">
                  <c:v>95.840007369391415</c:v>
                </c:pt>
                <c:pt idx="99">
                  <c:v>95.858051246962745</c:v>
                </c:pt>
                <c:pt idx="100">
                  <c:v>95.875699023505092</c:v>
                </c:pt>
                <c:pt idx="101">
                  <c:v>95.892962229170209</c:v>
                </c:pt>
                <c:pt idx="102">
                  <c:v>95.909851951007198</c:v>
                </c:pt>
                <c:pt idx="103">
                  <c:v>95.926378854045495</c:v>
                </c:pt>
                <c:pt idx="104">
                  <c:v>95.942553201185461</c:v>
                </c:pt>
                <c:pt idx="105">
                  <c:v>95.958384871974289</c:v>
                </c:pt>
                <c:pt idx="106">
                  <c:v>95.973883380339828</c:v>
                </c:pt>
                <c:pt idx="107">
                  <c:v>95.989057891348978</c:v>
                </c:pt>
                <c:pt idx="108">
                  <c:v>96.003917237052576</c:v>
                </c:pt>
                <c:pt idx="109">
                  <c:v>96.018469931474641</c:v>
                </c:pt>
                <c:pt idx="110">
                  <c:v>96.032724184799093</c:v>
                </c:pt>
                <c:pt idx="111">
                  <c:v>96.046687916803819</c:v>
                </c:pt>
                <c:pt idx="112">
                  <c:v>96.06036876958828</c:v>
                </c:pt>
                <c:pt idx="113">
                  <c:v>96.073774119637363</c:v>
                </c:pt>
                <c:pt idx="114">
                  <c:v>96.086911089261989</c:v>
                </c:pt>
                <c:pt idx="115">
                  <c:v>96.099786557453186</c:v>
                </c:pt>
                <c:pt idx="116">
                  <c:v>96.112407170184838</c:v>
                </c:pt>
                <c:pt idx="117">
                  <c:v>96.124779350197286</c:v>
                </c:pt>
                <c:pt idx="118">
                  <c:v>96.136909306291983</c:v>
                </c:pt>
                <c:pt idx="119">
                  <c:v>96.148803042165838</c:v>
                </c:pt>
                <c:pt idx="120">
                  <c:v>96.160466364811114</c:v>
                </c:pt>
                <c:pt idx="121">
                  <c:v>96.171904892506078</c:v>
                </c:pt>
                <c:pt idx="122">
                  <c:v>96.183124062419125</c:v>
                </c:pt>
                <c:pt idx="123">
                  <c:v>96.194129137848222</c:v>
                </c:pt>
                <c:pt idx="124">
                  <c:v>96.204925215115878</c:v>
                </c:pt>
                <c:pt idx="125">
                  <c:v>96.215517230138502</c:v>
                </c:pt>
                <c:pt idx="126">
                  <c:v>96.225909964688086</c:v>
                </c:pt>
                <c:pt idx="127">
                  <c:v>96.236108052362809</c:v>
                </c:pt>
                <c:pt idx="128">
                  <c:v>96.246115984282383</c:v>
                </c:pt>
                <c:pt idx="129">
                  <c:v>96.255938114522451</c:v>
                </c:pt>
                <c:pt idx="130">
                  <c:v>96.265578665302357</c:v>
                </c:pt>
                <c:pt idx="131">
                  <c:v>96.275041731939027</c:v>
                </c:pt>
                <c:pt idx="132">
                  <c:v>96.284331287578979</c:v>
                </c:pt>
                <c:pt idx="133">
                  <c:v>96.293451187720407</c:v>
                </c:pt>
                <c:pt idx="134">
                  <c:v>96.302405174535622</c:v>
                </c:pt>
                <c:pt idx="135">
                  <c:v>96.311196881004619</c:v>
                </c:pt>
                <c:pt idx="136">
                  <c:v>96.319829834868671</c:v>
                </c:pt>
                <c:pt idx="137">
                  <c:v>96.328307462413775</c:v>
                </c:pt>
                <c:pt idx="138">
                  <c:v>96.33663309209166</c:v>
                </c:pt>
                <c:pt idx="139">
                  <c:v>96.344809957987081</c:v>
                </c:pt>
                <c:pt idx="140">
                  <c:v>96.352841203138581</c:v>
                </c:pt>
                <c:pt idx="141">
                  <c:v>96.360729882719937</c:v>
                </c:pt>
                <c:pt idx="142">
                  <c:v>96.368478967089359</c:v>
                </c:pt>
                <c:pt idx="143">
                  <c:v>96.376091344712307</c:v>
                </c:pt>
                <c:pt idx="144">
                  <c:v>96.383569824964425</c:v>
                </c:pt>
                <c:pt idx="145">
                  <c:v>96.390917140820164</c:v>
                </c:pt>
                <c:pt idx="146">
                  <c:v>96.398135951432295</c:v>
                </c:pt>
                <c:pt idx="147">
                  <c:v>96.405228844607862</c:v>
                </c:pt>
                <c:pt idx="148">
                  <c:v>96.412198339184883</c:v>
                </c:pt>
                <c:pt idx="149">
                  <c:v>96.419046887314892</c:v>
                </c:pt>
                <c:pt idx="150">
                  <c:v>96.425776876655306</c:v>
                </c:pt>
              </c:numCache>
            </c:numRef>
          </c:yVal>
          <c:smooth val="0"/>
          <c:extLst>
            <c:ext xmlns:c16="http://schemas.microsoft.com/office/drawing/2014/chart" uri="{C3380CC4-5D6E-409C-BE32-E72D297353CC}">
              <c16:uniqueId val="{00000000-EBB2-49C9-A014-1F538461E4EA}"/>
            </c:ext>
          </c:extLst>
        </c:ser>
        <c:dLbls>
          <c:showLegendKey val="0"/>
          <c:showVal val="0"/>
          <c:showCatName val="0"/>
          <c:showSerName val="0"/>
          <c:showPercent val="0"/>
          <c:showBubbleSize val="0"/>
        </c:dLbls>
        <c:axId val="144893056"/>
        <c:axId val="144894592"/>
      </c:scatterChart>
      <c:scatterChart>
        <c:scatterStyle val="smoothMarker"/>
        <c:varyColors val="0"/>
        <c:ser>
          <c:idx val="1"/>
          <c:order val="1"/>
          <c:tx>
            <c:v>MOSFET</c:v>
          </c:tx>
          <c:spPr>
            <a:ln>
              <a:solidFill>
                <a:schemeClr val="tx2">
                  <a:lumMod val="75000"/>
                </a:schemeClr>
              </a:solidFill>
              <a:prstDash val="dashDot"/>
            </a:ln>
          </c:spPr>
          <c:marker>
            <c:symbol val="none"/>
          </c:marker>
          <c:xVal>
            <c:numRef>
              <c:f>Eff_vs_IOUT!$S$7:$S$157</c:f>
              <c:numCache>
                <c:formatCode>General</c:formatCode>
                <c:ptCount val="151"/>
                <c:pt idx="0">
                  <c:v>0</c:v>
                </c:pt>
                <c:pt idx="1">
                  <c:v>3.3333333333333335E-3</c:v>
                </c:pt>
                <c:pt idx="2">
                  <c:v>6.6666666666666671E-3</c:v>
                </c:pt>
                <c:pt idx="3">
                  <c:v>0.01</c:v>
                </c:pt>
                <c:pt idx="4">
                  <c:v>1.3333333333333334E-2</c:v>
                </c:pt>
                <c:pt idx="5">
                  <c:v>1.6666666666666666E-2</c:v>
                </c:pt>
                <c:pt idx="6">
                  <c:v>0.02</c:v>
                </c:pt>
                <c:pt idx="7">
                  <c:v>2.3333333333333334E-2</c:v>
                </c:pt>
                <c:pt idx="8">
                  <c:v>2.6666666666666668E-2</c:v>
                </c:pt>
                <c:pt idx="9">
                  <c:v>3.0000000000000002E-2</c:v>
                </c:pt>
                <c:pt idx="10">
                  <c:v>3.3333333333333333E-2</c:v>
                </c:pt>
                <c:pt idx="11">
                  <c:v>3.6666666666666667E-2</c:v>
                </c:pt>
                <c:pt idx="12">
                  <c:v>0.04</c:v>
                </c:pt>
                <c:pt idx="13">
                  <c:v>4.3333333333333335E-2</c:v>
                </c:pt>
                <c:pt idx="14">
                  <c:v>4.6666666666666669E-2</c:v>
                </c:pt>
                <c:pt idx="15">
                  <c:v>0.05</c:v>
                </c:pt>
                <c:pt idx="16">
                  <c:v>5.3333333333333337E-2</c:v>
                </c:pt>
                <c:pt idx="17">
                  <c:v>5.6666666666666671E-2</c:v>
                </c:pt>
                <c:pt idx="18">
                  <c:v>6.0000000000000005E-2</c:v>
                </c:pt>
                <c:pt idx="19">
                  <c:v>6.3333333333333339E-2</c:v>
                </c:pt>
                <c:pt idx="20">
                  <c:v>6.6666666666666666E-2</c:v>
                </c:pt>
                <c:pt idx="21">
                  <c:v>7.0000000000000007E-2</c:v>
                </c:pt>
                <c:pt idx="22">
                  <c:v>7.3333333333333334E-2</c:v>
                </c:pt>
                <c:pt idx="23">
                  <c:v>7.6666666666666675E-2</c:v>
                </c:pt>
                <c:pt idx="24">
                  <c:v>0.08</c:v>
                </c:pt>
                <c:pt idx="25">
                  <c:v>8.3333333333333343E-2</c:v>
                </c:pt>
                <c:pt idx="26">
                  <c:v>8.666666666666667E-2</c:v>
                </c:pt>
                <c:pt idx="27">
                  <c:v>9.0000000000000011E-2</c:v>
                </c:pt>
                <c:pt idx="28">
                  <c:v>9.3333333333333338E-2</c:v>
                </c:pt>
                <c:pt idx="29">
                  <c:v>9.6666666666666679E-2</c:v>
                </c:pt>
                <c:pt idx="30">
                  <c:v>0.1</c:v>
                </c:pt>
                <c:pt idx="31">
                  <c:v>0.10333333333333335</c:v>
                </c:pt>
                <c:pt idx="32">
                  <c:v>0.10666666666666667</c:v>
                </c:pt>
                <c:pt idx="33">
                  <c:v>0.11</c:v>
                </c:pt>
                <c:pt idx="34">
                  <c:v>0.11333333333333334</c:v>
                </c:pt>
                <c:pt idx="35">
                  <c:v>0.11666666666666667</c:v>
                </c:pt>
                <c:pt idx="36">
                  <c:v>0.12000000000000001</c:v>
                </c:pt>
                <c:pt idx="37">
                  <c:v>0.12333333333333334</c:v>
                </c:pt>
                <c:pt idx="38">
                  <c:v>0.12666666666666668</c:v>
                </c:pt>
                <c:pt idx="39">
                  <c:v>0.13</c:v>
                </c:pt>
                <c:pt idx="40">
                  <c:v>0.13333333333333333</c:v>
                </c:pt>
                <c:pt idx="41">
                  <c:v>0.13666666666666669</c:v>
                </c:pt>
                <c:pt idx="42">
                  <c:v>0.14000000000000001</c:v>
                </c:pt>
                <c:pt idx="43">
                  <c:v>0.14333333333333334</c:v>
                </c:pt>
                <c:pt idx="44">
                  <c:v>0.14666666666666667</c:v>
                </c:pt>
                <c:pt idx="45">
                  <c:v>0.15000000000000002</c:v>
                </c:pt>
                <c:pt idx="46">
                  <c:v>0.15333333333333335</c:v>
                </c:pt>
                <c:pt idx="47">
                  <c:v>0.15666666666666668</c:v>
                </c:pt>
                <c:pt idx="48">
                  <c:v>0.16</c:v>
                </c:pt>
                <c:pt idx="49">
                  <c:v>0.16333333333333333</c:v>
                </c:pt>
                <c:pt idx="50">
                  <c:v>0.16666666666666669</c:v>
                </c:pt>
                <c:pt idx="51">
                  <c:v>0.17</c:v>
                </c:pt>
                <c:pt idx="52">
                  <c:v>0.17333333333333334</c:v>
                </c:pt>
                <c:pt idx="53">
                  <c:v>0.17666666666666667</c:v>
                </c:pt>
                <c:pt idx="54">
                  <c:v>0.18000000000000002</c:v>
                </c:pt>
                <c:pt idx="55">
                  <c:v>0.18333333333333335</c:v>
                </c:pt>
                <c:pt idx="56">
                  <c:v>0.18666666666666668</c:v>
                </c:pt>
                <c:pt idx="57">
                  <c:v>0.19</c:v>
                </c:pt>
                <c:pt idx="58">
                  <c:v>0.19333333333333336</c:v>
                </c:pt>
                <c:pt idx="59">
                  <c:v>0.19666666666666668</c:v>
                </c:pt>
                <c:pt idx="60">
                  <c:v>0.2</c:v>
                </c:pt>
                <c:pt idx="61">
                  <c:v>0.20333333333333334</c:v>
                </c:pt>
                <c:pt idx="62">
                  <c:v>0.20666666666666669</c:v>
                </c:pt>
                <c:pt idx="63">
                  <c:v>0.21000000000000002</c:v>
                </c:pt>
                <c:pt idx="64">
                  <c:v>0.21333333333333335</c:v>
                </c:pt>
                <c:pt idx="65">
                  <c:v>0.21666666666666667</c:v>
                </c:pt>
                <c:pt idx="66">
                  <c:v>0.22</c:v>
                </c:pt>
                <c:pt idx="67">
                  <c:v>0.22333333333333336</c:v>
                </c:pt>
                <c:pt idx="68">
                  <c:v>0.22666666666666668</c:v>
                </c:pt>
                <c:pt idx="69">
                  <c:v>0.23</c:v>
                </c:pt>
                <c:pt idx="70">
                  <c:v>0.23333333333333334</c:v>
                </c:pt>
                <c:pt idx="71">
                  <c:v>0.23666666666666669</c:v>
                </c:pt>
                <c:pt idx="72">
                  <c:v>0.24000000000000002</c:v>
                </c:pt>
                <c:pt idx="73">
                  <c:v>0.24333333333333335</c:v>
                </c:pt>
                <c:pt idx="74">
                  <c:v>0.24666666666666667</c:v>
                </c:pt>
                <c:pt idx="75">
                  <c:v>0.25</c:v>
                </c:pt>
                <c:pt idx="76">
                  <c:v>0.25333333333333335</c:v>
                </c:pt>
                <c:pt idx="77">
                  <c:v>0.25666666666666671</c:v>
                </c:pt>
                <c:pt idx="78">
                  <c:v>0.26</c:v>
                </c:pt>
                <c:pt idx="79">
                  <c:v>0.26333333333333336</c:v>
                </c:pt>
                <c:pt idx="80">
                  <c:v>0.26666666666666666</c:v>
                </c:pt>
                <c:pt idx="81">
                  <c:v>0.27</c:v>
                </c:pt>
                <c:pt idx="82">
                  <c:v>0.27333333333333337</c:v>
                </c:pt>
                <c:pt idx="83">
                  <c:v>0.27666666666666667</c:v>
                </c:pt>
                <c:pt idx="84">
                  <c:v>0.28000000000000003</c:v>
                </c:pt>
                <c:pt idx="85">
                  <c:v>0.28333333333333333</c:v>
                </c:pt>
                <c:pt idx="86">
                  <c:v>0.28666666666666668</c:v>
                </c:pt>
                <c:pt idx="87">
                  <c:v>0.29000000000000004</c:v>
                </c:pt>
                <c:pt idx="88">
                  <c:v>0.29333333333333333</c:v>
                </c:pt>
                <c:pt idx="89">
                  <c:v>0.29666666666666669</c:v>
                </c:pt>
                <c:pt idx="90">
                  <c:v>0.30000000000000004</c:v>
                </c:pt>
                <c:pt idx="91">
                  <c:v>0.30333333333333334</c:v>
                </c:pt>
                <c:pt idx="92">
                  <c:v>0.3066666666666667</c:v>
                </c:pt>
                <c:pt idx="93">
                  <c:v>0.31</c:v>
                </c:pt>
                <c:pt idx="94">
                  <c:v>0.31333333333333335</c:v>
                </c:pt>
                <c:pt idx="95">
                  <c:v>0.31666666666666671</c:v>
                </c:pt>
                <c:pt idx="96">
                  <c:v>0.32</c:v>
                </c:pt>
                <c:pt idx="97">
                  <c:v>0.32333333333333336</c:v>
                </c:pt>
                <c:pt idx="98">
                  <c:v>0.32666666666666666</c:v>
                </c:pt>
                <c:pt idx="99">
                  <c:v>0.33</c:v>
                </c:pt>
                <c:pt idx="100">
                  <c:v>0.33333333333333337</c:v>
                </c:pt>
                <c:pt idx="101">
                  <c:v>0.33666666666666667</c:v>
                </c:pt>
                <c:pt idx="102">
                  <c:v>0.34</c:v>
                </c:pt>
                <c:pt idx="103">
                  <c:v>0.34333333333333338</c:v>
                </c:pt>
                <c:pt idx="104">
                  <c:v>0.34666666666666668</c:v>
                </c:pt>
                <c:pt idx="105">
                  <c:v>0.35000000000000003</c:v>
                </c:pt>
                <c:pt idx="106">
                  <c:v>0.35333333333333333</c:v>
                </c:pt>
                <c:pt idx="107">
                  <c:v>0.35666666666666669</c:v>
                </c:pt>
                <c:pt idx="108">
                  <c:v>0.36000000000000004</c:v>
                </c:pt>
                <c:pt idx="109">
                  <c:v>0.36333333333333334</c:v>
                </c:pt>
                <c:pt idx="110">
                  <c:v>0.3666666666666667</c:v>
                </c:pt>
                <c:pt idx="111">
                  <c:v>0.37000000000000005</c:v>
                </c:pt>
                <c:pt idx="112">
                  <c:v>0.37333333333333335</c:v>
                </c:pt>
                <c:pt idx="113">
                  <c:v>0.37666666666666671</c:v>
                </c:pt>
                <c:pt idx="114">
                  <c:v>0.38</c:v>
                </c:pt>
                <c:pt idx="115">
                  <c:v>0.38333333333333336</c:v>
                </c:pt>
                <c:pt idx="116">
                  <c:v>0.38666666666666671</c:v>
                </c:pt>
                <c:pt idx="117">
                  <c:v>0.39</c:v>
                </c:pt>
                <c:pt idx="118">
                  <c:v>0.39333333333333337</c:v>
                </c:pt>
                <c:pt idx="119">
                  <c:v>0.39666666666666667</c:v>
                </c:pt>
                <c:pt idx="120">
                  <c:v>0.4</c:v>
                </c:pt>
                <c:pt idx="121">
                  <c:v>0.40333333333333338</c:v>
                </c:pt>
                <c:pt idx="122">
                  <c:v>0.40666666666666668</c:v>
                </c:pt>
                <c:pt idx="123">
                  <c:v>0.41000000000000003</c:v>
                </c:pt>
                <c:pt idx="124">
                  <c:v>0.41333333333333339</c:v>
                </c:pt>
                <c:pt idx="125">
                  <c:v>0.41666666666666669</c:v>
                </c:pt>
                <c:pt idx="126">
                  <c:v>0.42000000000000004</c:v>
                </c:pt>
                <c:pt idx="127">
                  <c:v>0.42333333333333334</c:v>
                </c:pt>
                <c:pt idx="128">
                  <c:v>0.42666666666666669</c:v>
                </c:pt>
                <c:pt idx="129">
                  <c:v>0.43000000000000005</c:v>
                </c:pt>
                <c:pt idx="130">
                  <c:v>0.43333333333333335</c:v>
                </c:pt>
                <c:pt idx="131">
                  <c:v>0.4366666666666667</c:v>
                </c:pt>
                <c:pt idx="132">
                  <c:v>0.44</c:v>
                </c:pt>
                <c:pt idx="133">
                  <c:v>0.44333333333333336</c:v>
                </c:pt>
                <c:pt idx="134">
                  <c:v>0.44666666666666671</c:v>
                </c:pt>
                <c:pt idx="135">
                  <c:v>0.45</c:v>
                </c:pt>
                <c:pt idx="136">
                  <c:v>0.45333333333333337</c:v>
                </c:pt>
                <c:pt idx="137">
                  <c:v>0.45666666666666672</c:v>
                </c:pt>
                <c:pt idx="138">
                  <c:v>0.46</c:v>
                </c:pt>
                <c:pt idx="139">
                  <c:v>0.46333333333333337</c:v>
                </c:pt>
                <c:pt idx="140">
                  <c:v>0.46666666666666667</c:v>
                </c:pt>
                <c:pt idx="141">
                  <c:v>0.47000000000000003</c:v>
                </c:pt>
                <c:pt idx="142">
                  <c:v>0.47333333333333338</c:v>
                </c:pt>
                <c:pt idx="143">
                  <c:v>0.47666666666666668</c:v>
                </c:pt>
                <c:pt idx="144">
                  <c:v>0.48000000000000004</c:v>
                </c:pt>
                <c:pt idx="145">
                  <c:v>0.48333333333333334</c:v>
                </c:pt>
                <c:pt idx="146">
                  <c:v>0.48666666666666669</c:v>
                </c:pt>
                <c:pt idx="147">
                  <c:v>0.49000000000000005</c:v>
                </c:pt>
                <c:pt idx="148">
                  <c:v>0.49333333333333335</c:v>
                </c:pt>
                <c:pt idx="149">
                  <c:v>0.4966666666666667</c:v>
                </c:pt>
                <c:pt idx="150">
                  <c:v>0.5</c:v>
                </c:pt>
              </c:numCache>
            </c:numRef>
          </c:xVal>
          <c:yVal>
            <c:numRef>
              <c:f>Eff_vs_IOUT!$AI$7:$AI$157</c:f>
              <c:numCache>
                <c:formatCode>General</c:formatCode>
                <c:ptCount val="151"/>
                <c:pt idx="0">
                  <c:v>0</c:v>
                </c:pt>
                <c:pt idx="1">
                  <c:v>2.0065906891543039E-3</c:v>
                </c:pt>
                <c:pt idx="2">
                  <c:v>4.0132644840886293E-3</c:v>
                </c:pt>
                <c:pt idx="3">
                  <c:v>6.0199923800947465E-3</c:v>
                </c:pt>
                <c:pt idx="4">
                  <c:v>8.0267640268196962E-3</c:v>
                </c:pt>
                <c:pt idx="5">
                  <c:v>1.0033573442331035E-2</c:v>
                </c:pt>
                <c:pt idx="6">
                  <c:v>1.2040416590489695E-2</c:v>
                </c:pt>
                <c:pt idx="7">
                  <c:v>1.4047290508263319E-2</c:v>
                </c:pt>
                <c:pt idx="8">
                  <c:v>1.6054192899879569E-2</c:v>
                </c:pt>
                <c:pt idx="9">
                  <c:v>1.8061121918299904E-2</c:v>
                </c:pt>
                <c:pt idx="10">
                  <c:v>2.006807603552933E-2</c:v>
                </c:pt>
                <c:pt idx="11">
                  <c:v>2.2075053960068761E-2</c:v>
                </c:pt>
                <c:pt idx="12">
                  <c:v>2.408205458151377E-2</c:v>
                </c:pt>
                <c:pt idx="13">
                  <c:v>2.608907693179156E-2</c:v>
                </c:pt>
                <c:pt idx="14">
                  <c:v>2.8096120157111791E-2</c:v>
                </c:pt>
                <c:pt idx="15">
                  <c:v>3.0103183497098528E-2</c:v>
                </c:pt>
                <c:pt idx="16">
                  <c:v>3.2110266268898638E-2</c:v>
                </c:pt>
                <c:pt idx="17">
                  <c:v>3.4117367854836905E-2</c:v>
                </c:pt>
                <c:pt idx="18">
                  <c:v>3.6124487692660405E-2</c:v>
                </c:pt>
                <c:pt idx="19">
                  <c:v>3.8131625267712931E-2</c:v>
                </c:pt>
                <c:pt idx="20">
                  <c:v>4.0138780106574609E-2</c:v>
                </c:pt>
                <c:pt idx="21">
                  <c:v>4.2145951771831607E-2</c:v>
                </c:pt>
                <c:pt idx="22">
                  <c:v>4.4153139857730193E-2</c:v>
                </c:pt>
                <c:pt idx="23">
                  <c:v>4.6160343986531675E-2</c:v>
                </c:pt>
                <c:pt idx="24">
                  <c:v>4.8167563805429164E-2</c:v>
                </c:pt>
                <c:pt idx="25">
                  <c:v>5.0174798983919647E-2</c:v>
                </c:pt>
                <c:pt idx="26">
                  <c:v>5.2182049211548162E-2</c:v>
                </c:pt>
                <c:pt idx="27">
                  <c:v>5.4189314195959244E-2</c:v>
                </c:pt>
                <c:pt idx="28">
                  <c:v>5.6196593661203428E-2</c:v>
                </c:pt>
                <c:pt idx="29">
                  <c:v>5.8203887346257858E-2</c:v>
                </c:pt>
                <c:pt idx="30">
                  <c:v>6.0211195003727042E-2</c:v>
                </c:pt>
                <c:pt idx="31">
                  <c:v>6.221851639869682E-2</c:v>
                </c:pt>
                <c:pt idx="32">
                  <c:v>6.4225851307718698E-2</c:v>
                </c:pt>
                <c:pt idx="33">
                  <c:v>6.6233199517906391E-2</c:v>
                </c:pt>
                <c:pt idx="34">
                  <c:v>6.8240560826129018E-2</c:v>
                </c:pt>
                <c:pt idx="35">
                  <c:v>7.0247935038287954E-2</c:v>
                </c:pt>
                <c:pt idx="36">
                  <c:v>7.2255321968666616E-2</c:v>
                </c:pt>
                <c:pt idx="37">
                  <c:v>7.4262721439343968E-2</c:v>
                </c:pt>
                <c:pt idx="38">
                  <c:v>7.6271246761708614E-2</c:v>
                </c:pt>
                <c:pt idx="39">
                  <c:v>7.8278740994863288E-2</c:v>
                </c:pt>
                <c:pt idx="40">
                  <c:v>8.0286261302343967E-2</c:v>
                </c:pt>
                <c:pt idx="41">
                  <c:v>8.2293807684150636E-2</c:v>
                </c:pt>
                <c:pt idx="42">
                  <c:v>8.4301380140283308E-2</c:v>
                </c:pt>
                <c:pt idx="43">
                  <c:v>8.6308978670741998E-2</c:v>
                </c:pt>
                <c:pt idx="44">
                  <c:v>8.8316603275526664E-2</c:v>
                </c:pt>
                <c:pt idx="45">
                  <c:v>9.0324253954637362E-2</c:v>
                </c:pt>
                <c:pt idx="46">
                  <c:v>9.2331930708074036E-2</c:v>
                </c:pt>
                <c:pt idx="47">
                  <c:v>9.4339633535836728E-2</c:v>
                </c:pt>
                <c:pt idx="48">
                  <c:v>9.634736243792541E-2</c:v>
                </c:pt>
                <c:pt idx="49">
                  <c:v>9.8355117414340082E-2</c:v>
                </c:pt>
                <c:pt idx="50">
                  <c:v>0.10036289846508079</c:v>
                </c:pt>
                <c:pt idx="51">
                  <c:v>0.10237070559014745</c:v>
                </c:pt>
                <c:pt idx="52">
                  <c:v>0.10437853878954011</c:v>
                </c:pt>
                <c:pt idx="53">
                  <c:v>0.10638639806325881</c:v>
                </c:pt>
                <c:pt idx="54">
                  <c:v>0.10839428341130347</c:v>
                </c:pt>
                <c:pt idx="55">
                  <c:v>0.11040219483367415</c:v>
                </c:pt>
                <c:pt idx="56">
                  <c:v>0.11241013233037082</c:v>
                </c:pt>
                <c:pt idx="57">
                  <c:v>0.11441809590139349</c:v>
                </c:pt>
                <c:pt idx="58">
                  <c:v>0.11642608554674222</c:v>
                </c:pt>
                <c:pt idx="59">
                  <c:v>0.11843410126641687</c:v>
                </c:pt>
                <c:pt idx="60">
                  <c:v>0.12044214306041755</c:v>
                </c:pt>
                <c:pt idx="61">
                  <c:v>0.12245021092874422</c:v>
                </c:pt>
                <c:pt idx="62">
                  <c:v>0.12445830487139692</c:v>
                </c:pt>
                <c:pt idx="63">
                  <c:v>0.12646642488837559</c:v>
                </c:pt>
                <c:pt idx="64">
                  <c:v>0.12847457097968026</c:v>
                </c:pt>
                <c:pt idx="65">
                  <c:v>0.13048274314531097</c:v>
                </c:pt>
                <c:pt idx="66">
                  <c:v>0.13249094138526762</c:v>
                </c:pt>
                <c:pt idx="67">
                  <c:v>0.13449916569955028</c:v>
                </c:pt>
                <c:pt idx="68">
                  <c:v>0.13650741608815897</c:v>
                </c:pt>
                <c:pt idx="69">
                  <c:v>0.13851569255109364</c:v>
                </c:pt>
                <c:pt idx="70">
                  <c:v>0.14052399508835431</c:v>
                </c:pt>
                <c:pt idx="71">
                  <c:v>0.14253232369994101</c:v>
                </c:pt>
                <c:pt idx="72">
                  <c:v>0.14454067838585372</c:v>
                </c:pt>
                <c:pt idx="73">
                  <c:v>0.1465490591460924</c:v>
                </c:pt>
                <c:pt idx="74">
                  <c:v>0.14855746598065706</c:v>
                </c:pt>
                <c:pt idx="75">
                  <c:v>0.15056589888954772</c:v>
                </c:pt>
                <c:pt idx="76">
                  <c:v>0.15257435787276444</c:v>
                </c:pt>
                <c:pt idx="77">
                  <c:v>0.15458284293030711</c:v>
                </c:pt>
                <c:pt idx="78">
                  <c:v>0.15659135406217578</c:v>
                </c:pt>
                <c:pt idx="79">
                  <c:v>0.15859989126837046</c:v>
                </c:pt>
                <c:pt idx="80">
                  <c:v>0.16060845454889111</c:v>
                </c:pt>
                <c:pt idx="81">
                  <c:v>0.16261704390373782</c:v>
                </c:pt>
                <c:pt idx="82">
                  <c:v>0.16462565933291046</c:v>
                </c:pt>
                <c:pt idx="83">
                  <c:v>0.16663430083640915</c:v>
                </c:pt>
                <c:pt idx="84">
                  <c:v>0.16864296841423382</c:v>
                </c:pt>
                <c:pt idx="85">
                  <c:v>0.17065166206638449</c:v>
                </c:pt>
                <c:pt idx="86">
                  <c:v>0.1726603817928612</c:v>
                </c:pt>
                <c:pt idx="87">
                  <c:v>0.17466912759366385</c:v>
                </c:pt>
                <c:pt idx="88">
                  <c:v>0.1766778994687925</c:v>
                </c:pt>
                <c:pt idx="89">
                  <c:v>0.17868669741824722</c:v>
                </c:pt>
                <c:pt idx="90">
                  <c:v>0.18069552144202791</c:v>
                </c:pt>
                <c:pt idx="91">
                  <c:v>0.18270437154013452</c:v>
                </c:pt>
                <c:pt idx="92">
                  <c:v>0.18471324771256725</c:v>
                </c:pt>
                <c:pt idx="93">
                  <c:v>0.1867221499593259</c:v>
                </c:pt>
                <c:pt idx="94">
                  <c:v>0.18873107828041061</c:v>
                </c:pt>
                <c:pt idx="95">
                  <c:v>0.19074003267582129</c:v>
                </c:pt>
                <c:pt idx="96">
                  <c:v>0.19274901314555795</c:v>
                </c:pt>
                <c:pt idx="97">
                  <c:v>0.19475801968962062</c:v>
                </c:pt>
                <c:pt idx="98">
                  <c:v>0.19676705230800931</c:v>
                </c:pt>
                <c:pt idx="99">
                  <c:v>0.19877611100072395</c:v>
                </c:pt>
                <c:pt idx="100">
                  <c:v>0.20078519576776468</c:v>
                </c:pt>
                <c:pt idx="101">
                  <c:v>0.20279430660913134</c:v>
                </c:pt>
                <c:pt idx="102">
                  <c:v>0.20480344352482405</c:v>
                </c:pt>
                <c:pt idx="103">
                  <c:v>0.20681260651484268</c:v>
                </c:pt>
                <c:pt idx="104">
                  <c:v>0.20882179557918731</c:v>
                </c:pt>
                <c:pt idx="105">
                  <c:v>0.21083101071785804</c:v>
                </c:pt>
                <c:pt idx="106">
                  <c:v>0.21284025193085471</c:v>
                </c:pt>
                <c:pt idx="107">
                  <c:v>0.21484951921817735</c:v>
                </c:pt>
                <c:pt idx="108">
                  <c:v>0.21685881257982603</c:v>
                </c:pt>
                <c:pt idx="109">
                  <c:v>0.21886813201580071</c:v>
                </c:pt>
                <c:pt idx="110">
                  <c:v>0.2208774775261014</c:v>
                </c:pt>
                <c:pt idx="111">
                  <c:v>0.22288684911072812</c:v>
                </c:pt>
                <c:pt idx="112">
                  <c:v>0.22489624676968073</c:v>
                </c:pt>
                <c:pt idx="113">
                  <c:v>0.22690567050295946</c:v>
                </c:pt>
                <c:pt idx="114">
                  <c:v>0.22891512031056405</c:v>
                </c:pt>
                <c:pt idx="115">
                  <c:v>0.23092459619249484</c:v>
                </c:pt>
                <c:pt idx="116">
                  <c:v>0.23293409814875152</c:v>
                </c:pt>
                <c:pt idx="117">
                  <c:v>0.23494362617933415</c:v>
                </c:pt>
                <c:pt idx="118">
                  <c:v>0.23695318028424281</c:v>
                </c:pt>
                <c:pt idx="119">
                  <c:v>0.2389627604634775</c:v>
                </c:pt>
                <c:pt idx="120">
                  <c:v>0.24097236671703814</c:v>
                </c:pt>
                <c:pt idx="121">
                  <c:v>0.24298199904492485</c:v>
                </c:pt>
                <c:pt idx="122">
                  <c:v>0.2449916574471375</c:v>
                </c:pt>
                <c:pt idx="123">
                  <c:v>0.24700134192367615</c:v>
                </c:pt>
                <c:pt idx="124">
                  <c:v>0.24901105247454086</c:v>
                </c:pt>
                <c:pt idx="125">
                  <c:v>0.25102078909973152</c:v>
                </c:pt>
                <c:pt idx="126">
                  <c:v>0.25303055179924822</c:v>
                </c:pt>
                <c:pt idx="127">
                  <c:v>0.25504034057309083</c:v>
                </c:pt>
                <c:pt idx="128">
                  <c:v>0.25705015542125959</c:v>
                </c:pt>
                <c:pt idx="129">
                  <c:v>0.25905999634375426</c:v>
                </c:pt>
                <c:pt idx="130">
                  <c:v>0.26106986334057491</c:v>
                </c:pt>
                <c:pt idx="131">
                  <c:v>0.2630797564117216</c:v>
                </c:pt>
                <c:pt idx="132">
                  <c:v>0.26508967555719426</c:v>
                </c:pt>
                <c:pt idx="133">
                  <c:v>0.26709962077699295</c:v>
                </c:pt>
                <c:pt idx="134">
                  <c:v>0.26910959207111756</c:v>
                </c:pt>
                <c:pt idx="135">
                  <c:v>0.27111958943956826</c:v>
                </c:pt>
                <c:pt idx="136">
                  <c:v>0.27312961288234494</c:v>
                </c:pt>
                <c:pt idx="137">
                  <c:v>0.27513966239944765</c:v>
                </c:pt>
                <c:pt idx="138">
                  <c:v>0.27714973799087622</c:v>
                </c:pt>
                <c:pt idx="139">
                  <c:v>0.27915983965663099</c:v>
                </c:pt>
                <c:pt idx="140">
                  <c:v>0.28116996739671157</c:v>
                </c:pt>
                <c:pt idx="141">
                  <c:v>0.2831801212111183</c:v>
                </c:pt>
                <c:pt idx="142">
                  <c:v>0.28519030109985094</c:v>
                </c:pt>
                <c:pt idx="143">
                  <c:v>0.28720050706290967</c:v>
                </c:pt>
                <c:pt idx="144">
                  <c:v>0.28921073910029438</c:v>
                </c:pt>
                <c:pt idx="145">
                  <c:v>0.29122099721200501</c:v>
                </c:pt>
                <c:pt idx="146">
                  <c:v>0.29323128139804172</c:v>
                </c:pt>
                <c:pt idx="147">
                  <c:v>0.29524159165840436</c:v>
                </c:pt>
                <c:pt idx="148">
                  <c:v>0.29725192799309302</c:v>
                </c:pt>
                <c:pt idx="149">
                  <c:v>0.29926229040210772</c:v>
                </c:pt>
                <c:pt idx="150">
                  <c:v>0.30127267888544834</c:v>
                </c:pt>
              </c:numCache>
            </c:numRef>
          </c:yVal>
          <c:smooth val="1"/>
          <c:extLst>
            <c:ext xmlns:c16="http://schemas.microsoft.com/office/drawing/2014/chart" uri="{C3380CC4-5D6E-409C-BE32-E72D297353CC}">
              <c16:uniqueId val="{00000001-EBB2-49C9-A014-1F538461E4EA}"/>
            </c:ext>
          </c:extLst>
        </c:ser>
        <c:ser>
          <c:idx val="2"/>
          <c:order val="2"/>
          <c:tx>
            <c:v>Diode</c:v>
          </c:tx>
          <c:spPr>
            <a:ln>
              <a:solidFill>
                <a:schemeClr val="bg2">
                  <a:lumMod val="50000"/>
                </a:schemeClr>
              </a:solidFill>
              <a:prstDash val="sysDash"/>
            </a:ln>
          </c:spPr>
          <c:marker>
            <c:symbol val="none"/>
          </c:marker>
          <c:xVal>
            <c:numRef>
              <c:f>Eff_vs_IOUT!$S$7:$S$157</c:f>
              <c:numCache>
                <c:formatCode>General</c:formatCode>
                <c:ptCount val="151"/>
                <c:pt idx="0">
                  <c:v>0</c:v>
                </c:pt>
                <c:pt idx="1">
                  <c:v>3.3333333333333335E-3</c:v>
                </c:pt>
                <c:pt idx="2">
                  <c:v>6.6666666666666671E-3</c:v>
                </c:pt>
                <c:pt idx="3">
                  <c:v>0.01</c:v>
                </c:pt>
                <c:pt idx="4">
                  <c:v>1.3333333333333334E-2</c:v>
                </c:pt>
                <c:pt idx="5">
                  <c:v>1.6666666666666666E-2</c:v>
                </c:pt>
                <c:pt idx="6">
                  <c:v>0.02</c:v>
                </c:pt>
                <c:pt idx="7">
                  <c:v>2.3333333333333334E-2</c:v>
                </c:pt>
                <c:pt idx="8">
                  <c:v>2.6666666666666668E-2</c:v>
                </c:pt>
                <c:pt idx="9">
                  <c:v>3.0000000000000002E-2</c:v>
                </c:pt>
                <c:pt idx="10">
                  <c:v>3.3333333333333333E-2</c:v>
                </c:pt>
                <c:pt idx="11">
                  <c:v>3.6666666666666667E-2</c:v>
                </c:pt>
                <c:pt idx="12">
                  <c:v>0.04</c:v>
                </c:pt>
                <c:pt idx="13">
                  <c:v>4.3333333333333335E-2</c:v>
                </c:pt>
                <c:pt idx="14">
                  <c:v>4.6666666666666669E-2</c:v>
                </c:pt>
                <c:pt idx="15">
                  <c:v>0.05</c:v>
                </c:pt>
                <c:pt idx="16">
                  <c:v>5.3333333333333337E-2</c:v>
                </c:pt>
                <c:pt idx="17">
                  <c:v>5.6666666666666671E-2</c:v>
                </c:pt>
                <c:pt idx="18">
                  <c:v>6.0000000000000005E-2</c:v>
                </c:pt>
                <c:pt idx="19">
                  <c:v>6.3333333333333339E-2</c:v>
                </c:pt>
                <c:pt idx="20">
                  <c:v>6.6666666666666666E-2</c:v>
                </c:pt>
                <c:pt idx="21">
                  <c:v>7.0000000000000007E-2</c:v>
                </c:pt>
                <c:pt idx="22">
                  <c:v>7.3333333333333334E-2</c:v>
                </c:pt>
                <c:pt idx="23">
                  <c:v>7.6666666666666675E-2</c:v>
                </c:pt>
                <c:pt idx="24">
                  <c:v>0.08</c:v>
                </c:pt>
                <c:pt idx="25">
                  <c:v>8.3333333333333343E-2</c:v>
                </c:pt>
                <c:pt idx="26">
                  <c:v>8.666666666666667E-2</c:v>
                </c:pt>
                <c:pt idx="27">
                  <c:v>9.0000000000000011E-2</c:v>
                </c:pt>
                <c:pt idx="28">
                  <c:v>9.3333333333333338E-2</c:v>
                </c:pt>
                <c:pt idx="29">
                  <c:v>9.6666666666666679E-2</c:v>
                </c:pt>
                <c:pt idx="30">
                  <c:v>0.1</c:v>
                </c:pt>
                <c:pt idx="31">
                  <c:v>0.10333333333333335</c:v>
                </c:pt>
                <c:pt idx="32">
                  <c:v>0.10666666666666667</c:v>
                </c:pt>
                <c:pt idx="33">
                  <c:v>0.11</c:v>
                </c:pt>
                <c:pt idx="34">
                  <c:v>0.11333333333333334</c:v>
                </c:pt>
                <c:pt idx="35">
                  <c:v>0.11666666666666667</c:v>
                </c:pt>
                <c:pt idx="36">
                  <c:v>0.12000000000000001</c:v>
                </c:pt>
                <c:pt idx="37">
                  <c:v>0.12333333333333334</c:v>
                </c:pt>
                <c:pt idx="38">
                  <c:v>0.12666666666666668</c:v>
                </c:pt>
                <c:pt idx="39">
                  <c:v>0.13</c:v>
                </c:pt>
                <c:pt idx="40">
                  <c:v>0.13333333333333333</c:v>
                </c:pt>
                <c:pt idx="41">
                  <c:v>0.13666666666666669</c:v>
                </c:pt>
                <c:pt idx="42">
                  <c:v>0.14000000000000001</c:v>
                </c:pt>
                <c:pt idx="43">
                  <c:v>0.14333333333333334</c:v>
                </c:pt>
                <c:pt idx="44">
                  <c:v>0.14666666666666667</c:v>
                </c:pt>
                <c:pt idx="45">
                  <c:v>0.15000000000000002</c:v>
                </c:pt>
                <c:pt idx="46">
                  <c:v>0.15333333333333335</c:v>
                </c:pt>
                <c:pt idx="47">
                  <c:v>0.15666666666666668</c:v>
                </c:pt>
                <c:pt idx="48">
                  <c:v>0.16</c:v>
                </c:pt>
                <c:pt idx="49">
                  <c:v>0.16333333333333333</c:v>
                </c:pt>
                <c:pt idx="50">
                  <c:v>0.16666666666666669</c:v>
                </c:pt>
                <c:pt idx="51">
                  <c:v>0.17</c:v>
                </c:pt>
                <c:pt idx="52">
                  <c:v>0.17333333333333334</c:v>
                </c:pt>
                <c:pt idx="53">
                  <c:v>0.17666666666666667</c:v>
                </c:pt>
                <c:pt idx="54">
                  <c:v>0.18000000000000002</c:v>
                </c:pt>
                <c:pt idx="55">
                  <c:v>0.18333333333333335</c:v>
                </c:pt>
                <c:pt idx="56">
                  <c:v>0.18666666666666668</c:v>
                </c:pt>
                <c:pt idx="57">
                  <c:v>0.19</c:v>
                </c:pt>
                <c:pt idx="58">
                  <c:v>0.19333333333333336</c:v>
                </c:pt>
                <c:pt idx="59">
                  <c:v>0.19666666666666668</c:v>
                </c:pt>
                <c:pt idx="60">
                  <c:v>0.2</c:v>
                </c:pt>
                <c:pt idx="61">
                  <c:v>0.20333333333333334</c:v>
                </c:pt>
                <c:pt idx="62">
                  <c:v>0.20666666666666669</c:v>
                </c:pt>
                <c:pt idx="63">
                  <c:v>0.21000000000000002</c:v>
                </c:pt>
                <c:pt idx="64">
                  <c:v>0.21333333333333335</c:v>
                </c:pt>
                <c:pt idx="65">
                  <c:v>0.21666666666666667</c:v>
                </c:pt>
                <c:pt idx="66">
                  <c:v>0.22</c:v>
                </c:pt>
                <c:pt idx="67">
                  <c:v>0.22333333333333336</c:v>
                </c:pt>
                <c:pt idx="68">
                  <c:v>0.22666666666666668</c:v>
                </c:pt>
                <c:pt idx="69">
                  <c:v>0.23</c:v>
                </c:pt>
                <c:pt idx="70">
                  <c:v>0.23333333333333334</c:v>
                </c:pt>
                <c:pt idx="71">
                  <c:v>0.23666666666666669</c:v>
                </c:pt>
                <c:pt idx="72">
                  <c:v>0.24000000000000002</c:v>
                </c:pt>
                <c:pt idx="73">
                  <c:v>0.24333333333333335</c:v>
                </c:pt>
                <c:pt idx="74">
                  <c:v>0.24666666666666667</c:v>
                </c:pt>
                <c:pt idx="75">
                  <c:v>0.25</c:v>
                </c:pt>
                <c:pt idx="76">
                  <c:v>0.25333333333333335</c:v>
                </c:pt>
                <c:pt idx="77">
                  <c:v>0.25666666666666671</c:v>
                </c:pt>
                <c:pt idx="78">
                  <c:v>0.26</c:v>
                </c:pt>
                <c:pt idx="79">
                  <c:v>0.26333333333333336</c:v>
                </c:pt>
                <c:pt idx="80">
                  <c:v>0.26666666666666666</c:v>
                </c:pt>
                <c:pt idx="81">
                  <c:v>0.27</c:v>
                </c:pt>
                <c:pt idx="82">
                  <c:v>0.27333333333333337</c:v>
                </c:pt>
                <c:pt idx="83">
                  <c:v>0.27666666666666667</c:v>
                </c:pt>
                <c:pt idx="84">
                  <c:v>0.28000000000000003</c:v>
                </c:pt>
                <c:pt idx="85">
                  <c:v>0.28333333333333333</c:v>
                </c:pt>
                <c:pt idx="86">
                  <c:v>0.28666666666666668</c:v>
                </c:pt>
                <c:pt idx="87">
                  <c:v>0.29000000000000004</c:v>
                </c:pt>
                <c:pt idx="88">
                  <c:v>0.29333333333333333</c:v>
                </c:pt>
                <c:pt idx="89">
                  <c:v>0.29666666666666669</c:v>
                </c:pt>
                <c:pt idx="90">
                  <c:v>0.30000000000000004</c:v>
                </c:pt>
                <c:pt idx="91">
                  <c:v>0.30333333333333334</c:v>
                </c:pt>
                <c:pt idx="92">
                  <c:v>0.3066666666666667</c:v>
                </c:pt>
                <c:pt idx="93">
                  <c:v>0.31</c:v>
                </c:pt>
                <c:pt idx="94">
                  <c:v>0.31333333333333335</c:v>
                </c:pt>
                <c:pt idx="95">
                  <c:v>0.31666666666666671</c:v>
                </c:pt>
                <c:pt idx="96">
                  <c:v>0.32</c:v>
                </c:pt>
                <c:pt idx="97">
                  <c:v>0.32333333333333336</c:v>
                </c:pt>
                <c:pt idx="98">
                  <c:v>0.32666666666666666</c:v>
                </c:pt>
                <c:pt idx="99">
                  <c:v>0.33</c:v>
                </c:pt>
                <c:pt idx="100">
                  <c:v>0.33333333333333337</c:v>
                </c:pt>
                <c:pt idx="101">
                  <c:v>0.33666666666666667</c:v>
                </c:pt>
                <c:pt idx="102">
                  <c:v>0.34</c:v>
                </c:pt>
                <c:pt idx="103">
                  <c:v>0.34333333333333338</c:v>
                </c:pt>
                <c:pt idx="104">
                  <c:v>0.34666666666666668</c:v>
                </c:pt>
                <c:pt idx="105">
                  <c:v>0.35000000000000003</c:v>
                </c:pt>
                <c:pt idx="106">
                  <c:v>0.35333333333333333</c:v>
                </c:pt>
                <c:pt idx="107">
                  <c:v>0.35666666666666669</c:v>
                </c:pt>
                <c:pt idx="108">
                  <c:v>0.36000000000000004</c:v>
                </c:pt>
                <c:pt idx="109">
                  <c:v>0.36333333333333334</c:v>
                </c:pt>
                <c:pt idx="110">
                  <c:v>0.3666666666666667</c:v>
                </c:pt>
                <c:pt idx="111">
                  <c:v>0.37000000000000005</c:v>
                </c:pt>
                <c:pt idx="112">
                  <c:v>0.37333333333333335</c:v>
                </c:pt>
                <c:pt idx="113">
                  <c:v>0.37666666666666671</c:v>
                </c:pt>
                <c:pt idx="114">
                  <c:v>0.38</c:v>
                </c:pt>
                <c:pt idx="115">
                  <c:v>0.38333333333333336</c:v>
                </c:pt>
                <c:pt idx="116">
                  <c:v>0.38666666666666671</c:v>
                </c:pt>
                <c:pt idx="117">
                  <c:v>0.39</c:v>
                </c:pt>
                <c:pt idx="118">
                  <c:v>0.39333333333333337</c:v>
                </c:pt>
                <c:pt idx="119">
                  <c:v>0.39666666666666667</c:v>
                </c:pt>
                <c:pt idx="120">
                  <c:v>0.4</c:v>
                </c:pt>
                <c:pt idx="121">
                  <c:v>0.40333333333333338</c:v>
                </c:pt>
                <c:pt idx="122">
                  <c:v>0.40666666666666668</c:v>
                </c:pt>
                <c:pt idx="123">
                  <c:v>0.41000000000000003</c:v>
                </c:pt>
                <c:pt idx="124">
                  <c:v>0.41333333333333339</c:v>
                </c:pt>
                <c:pt idx="125">
                  <c:v>0.41666666666666669</c:v>
                </c:pt>
                <c:pt idx="126">
                  <c:v>0.42000000000000004</c:v>
                </c:pt>
                <c:pt idx="127">
                  <c:v>0.42333333333333334</c:v>
                </c:pt>
                <c:pt idx="128">
                  <c:v>0.42666666666666669</c:v>
                </c:pt>
                <c:pt idx="129">
                  <c:v>0.43000000000000005</c:v>
                </c:pt>
                <c:pt idx="130">
                  <c:v>0.43333333333333335</c:v>
                </c:pt>
                <c:pt idx="131">
                  <c:v>0.4366666666666667</c:v>
                </c:pt>
                <c:pt idx="132">
                  <c:v>0.44</c:v>
                </c:pt>
                <c:pt idx="133">
                  <c:v>0.44333333333333336</c:v>
                </c:pt>
                <c:pt idx="134">
                  <c:v>0.44666666666666671</c:v>
                </c:pt>
                <c:pt idx="135">
                  <c:v>0.45</c:v>
                </c:pt>
                <c:pt idx="136">
                  <c:v>0.45333333333333337</c:v>
                </c:pt>
                <c:pt idx="137">
                  <c:v>0.45666666666666672</c:v>
                </c:pt>
                <c:pt idx="138">
                  <c:v>0.46</c:v>
                </c:pt>
                <c:pt idx="139">
                  <c:v>0.46333333333333337</c:v>
                </c:pt>
                <c:pt idx="140">
                  <c:v>0.46666666666666667</c:v>
                </c:pt>
                <c:pt idx="141">
                  <c:v>0.47000000000000003</c:v>
                </c:pt>
                <c:pt idx="142">
                  <c:v>0.47333333333333338</c:v>
                </c:pt>
                <c:pt idx="143">
                  <c:v>0.47666666666666668</c:v>
                </c:pt>
                <c:pt idx="144">
                  <c:v>0.48000000000000004</c:v>
                </c:pt>
                <c:pt idx="145">
                  <c:v>0.48333333333333334</c:v>
                </c:pt>
                <c:pt idx="146">
                  <c:v>0.48666666666666669</c:v>
                </c:pt>
                <c:pt idx="147">
                  <c:v>0.49000000000000005</c:v>
                </c:pt>
                <c:pt idx="148">
                  <c:v>0.49333333333333335</c:v>
                </c:pt>
                <c:pt idx="149">
                  <c:v>0.4966666666666667</c:v>
                </c:pt>
                <c:pt idx="150">
                  <c:v>0.5</c:v>
                </c:pt>
              </c:numCache>
            </c:numRef>
          </c:xVal>
          <c:yVal>
            <c:numRef>
              <c:f>Eff_vs_IOUT!$AN$7:$AN$157</c:f>
              <c:numCache>
                <c:formatCode>General</c:formatCode>
                <c:ptCount val="151"/>
                <c:pt idx="0">
                  <c:v>0.2423025</c:v>
                </c:pt>
                <c:pt idx="1">
                  <c:v>0.24380250000000001</c:v>
                </c:pt>
                <c:pt idx="2">
                  <c:v>0.24530250000000001</c:v>
                </c:pt>
                <c:pt idx="3">
                  <c:v>0.24680250000000001</c:v>
                </c:pt>
                <c:pt idx="4">
                  <c:v>0.24830250000000001</c:v>
                </c:pt>
                <c:pt idx="5">
                  <c:v>0.24980250000000001</c:v>
                </c:pt>
                <c:pt idx="6">
                  <c:v>0.25130249999999998</c:v>
                </c:pt>
                <c:pt idx="7">
                  <c:v>0.25280249999999999</c:v>
                </c:pt>
                <c:pt idx="8">
                  <c:v>0.25430249999999999</c:v>
                </c:pt>
                <c:pt idx="9">
                  <c:v>0.25580249999999999</c:v>
                </c:pt>
                <c:pt idx="10">
                  <c:v>0.25730249999999999</c:v>
                </c:pt>
                <c:pt idx="11">
                  <c:v>0.25880249999999999</c:v>
                </c:pt>
                <c:pt idx="12">
                  <c:v>0.26030249999999999</c:v>
                </c:pt>
                <c:pt idx="13">
                  <c:v>0.26180249999999999</c:v>
                </c:pt>
                <c:pt idx="14">
                  <c:v>0.26330249999999999</c:v>
                </c:pt>
                <c:pt idx="15">
                  <c:v>0.2648025</c:v>
                </c:pt>
                <c:pt idx="16">
                  <c:v>0.2663025</c:v>
                </c:pt>
                <c:pt idx="17">
                  <c:v>0.2678025</c:v>
                </c:pt>
                <c:pt idx="18">
                  <c:v>0.2693025</c:v>
                </c:pt>
                <c:pt idx="19">
                  <c:v>0.2708025</c:v>
                </c:pt>
                <c:pt idx="20">
                  <c:v>0.2723025</c:v>
                </c:pt>
                <c:pt idx="21">
                  <c:v>0.2738025</c:v>
                </c:pt>
                <c:pt idx="22">
                  <c:v>0.27530250000000001</c:v>
                </c:pt>
                <c:pt idx="23">
                  <c:v>0.27680250000000001</c:v>
                </c:pt>
                <c:pt idx="24">
                  <c:v>0.27830250000000001</c:v>
                </c:pt>
                <c:pt idx="25">
                  <c:v>0.27980250000000001</c:v>
                </c:pt>
                <c:pt idx="26">
                  <c:v>0.28130250000000001</c:v>
                </c:pt>
                <c:pt idx="27">
                  <c:v>0.28280250000000001</c:v>
                </c:pt>
                <c:pt idx="28">
                  <c:v>0.28430250000000001</c:v>
                </c:pt>
                <c:pt idx="29">
                  <c:v>0.28580250000000001</c:v>
                </c:pt>
                <c:pt idx="30">
                  <c:v>0.28730250000000002</c:v>
                </c:pt>
                <c:pt idx="31">
                  <c:v>0.28880250000000002</c:v>
                </c:pt>
                <c:pt idx="32">
                  <c:v>0.29030250000000002</c:v>
                </c:pt>
                <c:pt idx="33">
                  <c:v>0.29180250000000002</c:v>
                </c:pt>
                <c:pt idx="34">
                  <c:v>0.29330250000000002</c:v>
                </c:pt>
                <c:pt idx="35">
                  <c:v>0.29480250000000002</c:v>
                </c:pt>
                <c:pt idx="36">
                  <c:v>0.29630250000000002</c:v>
                </c:pt>
                <c:pt idx="37">
                  <c:v>0.29780250000000003</c:v>
                </c:pt>
                <c:pt idx="38">
                  <c:v>0.29930250000000003</c:v>
                </c:pt>
                <c:pt idx="39">
                  <c:v>0.30080250000000003</c:v>
                </c:pt>
                <c:pt idx="40">
                  <c:v>0.30230250000000003</c:v>
                </c:pt>
                <c:pt idx="41">
                  <c:v>0.30380250000000003</c:v>
                </c:pt>
                <c:pt idx="42">
                  <c:v>0.30530250000000003</c:v>
                </c:pt>
                <c:pt idx="43">
                  <c:v>0.30680249999999998</c:v>
                </c:pt>
                <c:pt idx="44">
                  <c:v>0.30830250000000003</c:v>
                </c:pt>
                <c:pt idx="45">
                  <c:v>0.30980250000000004</c:v>
                </c:pt>
                <c:pt idx="46">
                  <c:v>0.31130250000000004</c:v>
                </c:pt>
                <c:pt idx="47">
                  <c:v>0.31280249999999998</c:v>
                </c:pt>
                <c:pt idx="48">
                  <c:v>0.31430250000000004</c:v>
                </c:pt>
                <c:pt idx="49">
                  <c:v>0.31580249999999999</c:v>
                </c:pt>
                <c:pt idx="50">
                  <c:v>0.31730250000000004</c:v>
                </c:pt>
                <c:pt idx="51">
                  <c:v>0.31880249999999999</c:v>
                </c:pt>
                <c:pt idx="52">
                  <c:v>0.32030249999999999</c:v>
                </c:pt>
                <c:pt idx="53">
                  <c:v>0.32180249999999999</c:v>
                </c:pt>
                <c:pt idx="54">
                  <c:v>0.32330250000000005</c:v>
                </c:pt>
                <c:pt idx="55">
                  <c:v>0.32480249999999999</c:v>
                </c:pt>
                <c:pt idx="56">
                  <c:v>0.3263025</c:v>
                </c:pt>
                <c:pt idx="57">
                  <c:v>0.3278025</c:v>
                </c:pt>
                <c:pt idx="58">
                  <c:v>0.3293025</c:v>
                </c:pt>
                <c:pt idx="59">
                  <c:v>0.3308025</c:v>
                </c:pt>
                <c:pt idx="60">
                  <c:v>0.3323025</c:v>
                </c:pt>
                <c:pt idx="61">
                  <c:v>0.3338025</c:v>
                </c:pt>
                <c:pt idx="62">
                  <c:v>0.3353025</c:v>
                </c:pt>
                <c:pt idx="63">
                  <c:v>0.3368025</c:v>
                </c:pt>
                <c:pt idx="64">
                  <c:v>0.33830250000000001</c:v>
                </c:pt>
                <c:pt idx="65">
                  <c:v>0.33980250000000001</c:v>
                </c:pt>
                <c:pt idx="66">
                  <c:v>0.34130250000000001</c:v>
                </c:pt>
                <c:pt idx="67">
                  <c:v>0.34280250000000001</c:v>
                </c:pt>
                <c:pt idx="68">
                  <c:v>0.34430250000000001</c:v>
                </c:pt>
                <c:pt idx="69">
                  <c:v>0.34580250000000001</c:v>
                </c:pt>
                <c:pt idx="70">
                  <c:v>0.34730250000000001</c:v>
                </c:pt>
                <c:pt idx="71">
                  <c:v>0.34880250000000002</c:v>
                </c:pt>
                <c:pt idx="72">
                  <c:v>0.35030250000000002</c:v>
                </c:pt>
                <c:pt idx="73">
                  <c:v>0.35180250000000002</c:v>
                </c:pt>
                <c:pt idx="74">
                  <c:v>0.35330250000000002</c:v>
                </c:pt>
                <c:pt idx="75">
                  <c:v>0.35480250000000002</c:v>
                </c:pt>
                <c:pt idx="76">
                  <c:v>0.35630250000000002</c:v>
                </c:pt>
                <c:pt idx="77">
                  <c:v>0.35780250000000002</c:v>
                </c:pt>
                <c:pt idx="78">
                  <c:v>0.35930250000000002</c:v>
                </c:pt>
                <c:pt idx="79">
                  <c:v>0.36080250000000003</c:v>
                </c:pt>
                <c:pt idx="80">
                  <c:v>0.36230249999999997</c:v>
                </c:pt>
                <c:pt idx="81">
                  <c:v>0.36380250000000003</c:v>
                </c:pt>
                <c:pt idx="82">
                  <c:v>0.36530250000000003</c:v>
                </c:pt>
                <c:pt idx="83">
                  <c:v>0.36680250000000003</c:v>
                </c:pt>
                <c:pt idx="84">
                  <c:v>0.36830250000000003</c:v>
                </c:pt>
                <c:pt idx="85">
                  <c:v>0.36980250000000003</c:v>
                </c:pt>
                <c:pt idx="86">
                  <c:v>0.37130249999999998</c:v>
                </c:pt>
                <c:pt idx="87">
                  <c:v>0.37280250000000004</c:v>
                </c:pt>
                <c:pt idx="88">
                  <c:v>0.37430249999999998</c:v>
                </c:pt>
                <c:pt idx="89">
                  <c:v>0.37580250000000004</c:v>
                </c:pt>
                <c:pt idx="90">
                  <c:v>0.37730250000000004</c:v>
                </c:pt>
                <c:pt idx="91">
                  <c:v>0.37880250000000004</c:v>
                </c:pt>
                <c:pt idx="92">
                  <c:v>0.38030249999999999</c:v>
                </c:pt>
                <c:pt idx="93">
                  <c:v>0.38180250000000004</c:v>
                </c:pt>
                <c:pt idx="94">
                  <c:v>0.38330249999999999</c:v>
                </c:pt>
                <c:pt idx="95">
                  <c:v>0.38480250000000005</c:v>
                </c:pt>
                <c:pt idx="96">
                  <c:v>0.38630249999999999</c:v>
                </c:pt>
                <c:pt idx="97">
                  <c:v>0.38780250000000005</c:v>
                </c:pt>
                <c:pt idx="98">
                  <c:v>0.3893025</c:v>
                </c:pt>
                <c:pt idx="99">
                  <c:v>0.39080250000000005</c:v>
                </c:pt>
                <c:pt idx="100">
                  <c:v>0.3923025</c:v>
                </c:pt>
                <c:pt idx="101">
                  <c:v>0.3938025</c:v>
                </c:pt>
                <c:pt idx="102">
                  <c:v>0.3953025</c:v>
                </c:pt>
                <c:pt idx="103">
                  <c:v>0.39680250000000006</c:v>
                </c:pt>
                <c:pt idx="104">
                  <c:v>0.3983025</c:v>
                </c:pt>
                <c:pt idx="105">
                  <c:v>0.39980250000000006</c:v>
                </c:pt>
                <c:pt idx="106">
                  <c:v>0.40130250000000001</c:v>
                </c:pt>
                <c:pt idx="107">
                  <c:v>0.40280250000000001</c:v>
                </c:pt>
                <c:pt idx="108">
                  <c:v>0.40430250000000001</c:v>
                </c:pt>
                <c:pt idx="109">
                  <c:v>0.40580250000000001</c:v>
                </c:pt>
                <c:pt idx="110">
                  <c:v>0.40730250000000001</c:v>
                </c:pt>
                <c:pt idx="111">
                  <c:v>0.40880250000000007</c:v>
                </c:pt>
                <c:pt idx="112">
                  <c:v>0.41030250000000001</c:v>
                </c:pt>
                <c:pt idx="113">
                  <c:v>0.41180250000000002</c:v>
                </c:pt>
                <c:pt idx="114">
                  <c:v>0.41330250000000002</c:v>
                </c:pt>
                <c:pt idx="115">
                  <c:v>0.41480250000000002</c:v>
                </c:pt>
                <c:pt idx="116">
                  <c:v>0.41630250000000002</c:v>
                </c:pt>
                <c:pt idx="117">
                  <c:v>0.41780250000000002</c:v>
                </c:pt>
                <c:pt idx="118">
                  <c:v>0.41930250000000002</c:v>
                </c:pt>
                <c:pt idx="119">
                  <c:v>0.42080249999999997</c:v>
                </c:pt>
                <c:pt idx="120">
                  <c:v>0.42230250000000003</c:v>
                </c:pt>
                <c:pt idx="121">
                  <c:v>0.42380250000000003</c:v>
                </c:pt>
                <c:pt idx="122">
                  <c:v>0.42530250000000003</c:v>
                </c:pt>
                <c:pt idx="123">
                  <c:v>0.42680250000000003</c:v>
                </c:pt>
                <c:pt idx="124">
                  <c:v>0.42830250000000003</c:v>
                </c:pt>
                <c:pt idx="125">
                  <c:v>0.42980249999999998</c:v>
                </c:pt>
                <c:pt idx="126">
                  <c:v>0.43130250000000003</c:v>
                </c:pt>
                <c:pt idx="127">
                  <c:v>0.43280249999999998</c:v>
                </c:pt>
                <c:pt idx="128">
                  <c:v>0.43430250000000004</c:v>
                </c:pt>
                <c:pt idx="129">
                  <c:v>0.43580250000000004</c:v>
                </c:pt>
                <c:pt idx="130">
                  <c:v>0.43730250000000004</c:v>
                </c:pt>
                <c:pt idx="131">
                  <c:v>0.43880249999999998</c:v>
                </c:pt>
                <c:pt idx="132">
                  <c:v>0.44030250000000004</c:v>
                </c:pt>
                <c:pt idx="133">
                  <c:v>0.44180249999999999</c:v>
                </c:pt>
                <c:pt idx="134">
                  <c:v>0.44330250000000004</c:v>
                </c:pt>
                <c:pt idx="135">
                  <c:v>0.44480249999999999</c:v>
                </c:pt>
                <c:pt idx="136">
                  <c:v>0.44630250000000005</c:v>
                </c:pt>
                <c:pt idx="137">
                  <c:v>0.44780249999999999</c:v>
                </c:pt>
                <c:pt idx="138">
                  <c:v>0.44930250000000005</c:v>
                </c:pt>
                <c:pt idx="139">
                  <c:v>0.45080249999999999</c:v>
                </c:pt>
                <c:pt idx="140">
                  <c:v>0.45230250000000005</c:v>
                </c:pt>
                <c:pt idx="141">
                  <c:v>0.4538025</c:v>
                </c:pt>
                <c:pt idx="142">
                  <c:v>0.45530250000000005</c:v>
                </c:pt>
                <c:pt idx="143">
                  <c:v>0.4568025</c:v>
                </c:pt>
                <c:pt idx="144">
                  <c:v>0.45830250000000006</c:v>
                </c:pt>
                <c:pt idx="145">
                  <c:v>0.4598025</c:v>
                </c:pt>
                <c:pt idx="146">
                  <c:v>0.46130250000000006</c:v>
                </c:pt>
                <c:pt idx="147">
                  <c:v>0.46280250000000001</c:v>
                </c:pt>
                <c:pt idx="148">
                  <c:v>0.46430250000000001</c:v>
                </c:pt>
                <c:pt idx="149">
                  <c:v>0.46580250000000001</c:v>
                </c:pt>
                <c:pt idx="150">
                  <c:v>0.46730250000000001</c:v>
                </c:pt>
              </c:numCache>
            </c:numRef>
          </c:yVal>
          <c:smooth val="1"/>
          <c:extLst>
            <c:ext xmlns:c16="http://schemas.microsoft.com/office/drawing/2014/chart" uri="{C3380CC4-5D6E-409C-BE32-E72D297353CC}">
              <c16:uniqueId val="{00000002-EBB2-49C9-A014-1F538461E4EA}"/>
            </c:ext>
          </c:extLst>
        </c:ser>
        <c:ser>
          <c:idx val="3"/>
          <c:order val="3"/>
          <c:tx>
            <c:v>RCS</c:v>
          </c:tx>
          <c:spPr>
            <a:ln>
              <a:solidFill>
                <a:schemeClr val="accent5">
                  <a:lumMod val="75000"/>
                </a:schemeClr>
              </a:solidFill>
              <a:prstDash val="lgDashDotDot"/>
            </a:ln>
          </c:spPr>
          <c:marker>
            <c:symbol val="none"/>
          </c:marker>
          <c:xVal>
            <c:numRef>
              <c:f>Eff_vs_IOUT!$S$7:$S$157</c:f>
              <c:numCache>
                <c:formatCode>General</c:formatCode>
                <c:ptCount val="151"/>
                <c:pt idx="0">
                  <c:v>0</c:v>
                </c:pt>
                <c:pt idx="1">
                  <c:v>3.3333333333333335E-3</c:v>
                </c:pt>
                <c:pt idx="2">
                  <c:v>6.6666666666666671E-3</c:v>
                </c:pt>
                <c:pt idx="3">
                  <c:v>0.01</c:v>
                </c:pt>
                <c:pt idx="4">
                  <c:v>1.3333333333333334E-2</c:v>
                </c:pt>
                <c:pt idx="5">
                  <c:v>1.6666666666666666E-2</c:v>
                </c:pt>
                <c:pt idx="6">
                  <c:v>0.02</c:v>
                </c:pt>
                <c:pt idx="7">
                  <c:v>2.3333333333333334E-2</c:v>
                </c:pt>
                <c:pt idx="8">
                  <c:v>2.6666666666666668E-2</c:v>
                </c:pt>
                <c:pt idx="9">
                  <c:v>3.0000000000000002E-2</c:v>
                </c:pt>
                <c:pt idx="10">
                  <c:v>3.3333333333333333E-2</c:v>
                </c:pt>
                <c:pt idx="11">
                  <c:v>3.6666666666666667E-2</c:v>
                </c:pt>
                <c:pt idx="12">
                  <c:v>0.04</c:v>
                </c:pt>
                <c:pt idx="13">
                  <c:v>4.3333333333333335E-2</c:v>
                </c:pt>
                <c:pt idx="14">
                  <c:v>4.6666666666666669E-2</c:v>
                </c:pt>
                <c:pt idx="15">
                  <c:v>0.05</c:v>
                </c:pt>
                <c:pt idx="16">
                  <c:v>5.3333333333333337E-2</c:v>
                </c:pt>
                <c:pt idx="17">
                  <c:v>5.6666666666666671E-2</c:v>
                </c:pt>
                <c:pt idx="18">
                  <c:v>6.0000000000000005E-2</c:v>
                </c:pt>
                <c:pt idx="19">
                  <c:v>6.3333333333333339E-2</c:v>
                </c:pt>
                <c:pt idx="20">
                  <c:v>6.6666666666666666E-2</c:v>
                </c:pt>
                <c:pt idx="21">
                  <c:v>7.0000000000000007E-2</c:v>
                </c:pt>
                <c:pt idx="22">
                  <c:v>7.3333333333333334E-2</c:v>
                </c:pt>
                <c:pt idx="23">
                  <c:v>7.6666666666666675E-2</c:v>
                </c:pt>
                <c:pt idx="24">
                  <c:v>0.08</c:v>
                </c:pt>
                <c:pt idx="25">
                  <c:v>8.3333333333333343E-2</c:v>
                </c:pt>
                <c:pt idx="26">
                  <c:v>8.666666666666667E-2</c:v>
                </c:pt>
                <c:pt idx="27">
                  <c:v>9.0000000000000011E-2</c:v>
                </c:pt>
                <c:pt idx="28">
                  <c:v>9.3333333333333338E-2</c:v>
                </c:pt>
                <c:pt idx="29">
                  <c:v>9.6666666666666679E-2</c:v>
                </c:pt>
                <c:pt idx="30">
                  <c:v>0.1</c:v>
                </c:pt>
                <c:pt idx="31">
                  <c:v>0.10333333333333335</c:v>
                </c:pt>
                <c:pt idx="32">
                  <c:v>0.10666666666666667</c:v>
                </c:pt>
                <c:pt idx="33">
                  <c:v>0.11</c:v>
                </c:pt>
                <c:pt idx="34">
                  <c:v>0.11333333333333334</c:v>
                </c:pt>
                <c:pt idx="35">
                  <c:v>0.11666666666666667</c:v>
                </c:pt>
                <c:pt idx="36">
                  <c:v>0.12000000000000001</c:v>
                </c:pt>
                <c:pt idx="37">
                  <c:v>0.12333333333333334</c:v>
                </c:pt>
                <c:pt idx="38">
                  <c:v>0.12666666666666668</c:v>
                </c:pt>
                <c:pt idx="39">
                  <c:v>0.13</c:v>
                </c:pt>
                <c:pt idx="40">
                  <c:v>0.13333333333333333</c:v>
                </c:pt>
                <c:pt idx="41">
                  <c:v>0.13666666666666669</c:v>
                </c:pt>
                <c:pt idx="42">
                  <c:v>0.14000000000000001</c:v>
                </c:pt>
                <c:pt idx="43">
                  <c:v>0.14333333333333334</c:v>
                </c:pt>
                <c:pt idx="44">
                  <c:v>0.14666666666666667</c:v>
                </c:pt>
                <c:pt idx="45">
                  <c:v>0.15000000000000002</c:v>
                </c:pt>
                <c:pt idx="46">
                  <c:v>0.15333333333333335</c:v>
                </c:pt>
                <c:pt idx="47">
                  <c:v>0.15666666666666668</c:v>
                </c:pt>
                <c:pt idx="48">
                  <c:v>0.16</c:v>
                </c:pt>
                <c:pt idx="49">
                  <c:v>0.16333333333333333</c:v>
                </c:pt>
                <c:pt idx="50">
                  <c:v>0.16666666666666669</c:v>
                </c:pt>
                <c:pt idx="51">
                  <c:v>0.17</c:v>
                </c:pt>
                <c:pt idx="52">
                  <c:v>0.17333333333333334</c:v>
                </c:pt>
                <c:pt idx="53">
                  <c:v>0.17666666666666667</c:v>
                </c:pt>
                <c:pt idx="54">
                  <c:v>0.18000000000000002</c:v>
                </c:pt>
                <c:pt idx="55">
                  <c:v>0.18333333333333335</c:v>
                </c:pt>
                <c:pt idx="56">
                  <c:v>0.18666666666666668</c:v>
                </c:pt>
                <c:pt idx="57">
                  <c:v>0.19</c:v>
                </c:pt>
                <c:pt idx="58">
                  <c:v>0.19333333333333336</c:v>
                </c:pt>
                <c:pt idx="59">
                  <c:v>0.19666666666666668</c:v>
                </c:pt>
                <c:pt idx="60">
                  <c:v>0.2</c:v>
                </c:pt>
                <c:pt idx="61">
                  <c:v>0.20333333333333334</c:v>
                </c:pt>
                <c:pt idx="62">
                  <c:v>0.20666666666666669</c:v>
                </c:pt>
                <c:pt idx="63">
                  <c:v>0.21000000000000002</c:v>
                </c:pt>
                <c:pt idx="64">
                  <c:v>0.21333333333333335</c:v>
                </c:pt>
                <c:pt idx="65">
                  <c:v>0.21666666666666667</c:v>
                </c:pt>
                <c:pt idx="66">
                  <c:v>0.22</c:v>
                </c:pt>
                <c:pt idx="67">
                  <c:v>0.22333333333333336</c:v>
                </c:pt>
                <c:pt idx="68">
                  <c:v>0.22666666666666668</c:v>
                </c:pt>
                <c:pt idx="69">
                  <c:v>0.23</c:v>
                </c:pt>
                <c:pt idx="70">
                  <c:v>0.23333333333333334</c:v>
                </c:pt>
                <c:pt idx="71">
                  <c:v>0.23666666666666669</c:v>
                </c:pt>
                <c:pt idx="72">
                  <c:v>0.24000000000000002</c:v>
                </c:pt>
                <c:pt idx="73">
                  <c:v>0.24333333333333335</c:v>
                </c:pt>
                <c:pt idx="74">
                  <c:v>0.24666666666666667</c:v>
                </c:pt>
                <c:pt idx="75">
                  <c:v>0.25</c:v>
                </c:pt>
                <c:pt idx="76">
                  <c:v>0.25333333333333335</c:v>
                </c:pt>
                <c:pt idx="77">
                  <c:v>0.25666666666666671</c:v>
                </c:pt>
                <c:pt idx="78">
                  <c:v>0.26</c:v>
                </c:pt>
                <c:pt idx="79">
                  <c:v>0.26333333333333336</c:v>
                </c:pt>
                <c:pt idx="80">
                  <c:v>0.26666666666666666</c:v>
                </c:pt>
                <c:pt idx="81">
                  <c:v>0.27</c:v>
                </c:pt>
                <c:pt idx="82">
                  <c:v>0.27333333333333337</c:v>
                </c:pt>
                <c:pt idx="83">
                  <c:v>0.27666666666666667</c:v>
                </c:pt>
                <c:pt idx="84">
                  <c:v>0.28000000000000003</c:v>
                </c:pt>
                <c:pt idx="85">
                  <c:v>0.28333333333333333</c:v>
                </c:pt>
                <c:pt idx="86">
                  <c:v>0.28666666666666668</c:v>
                </c:pt>
                <c:pt idx="87">
                  <c:v>0.29000000000000004</c:v>
                </c:pt>
                <c:pt idx="88">
                  <c:v>0.29333333333333333</c:v>
                </c:pt>
                <c:pt idx="89">
                  <c:v>0.29666666666666669</c:v>
                </c:pt>
                <c:pt idx="90">
                  <c:v>0.30000000000000004</c:v>
                </c:pt>
                <c:pt idx="91">
                  <c:v>0.30333333333333334</c:v>
                </c:pt>
                <c:pt idx="92">
                  <c:v>0.3066666666666667</c:v>
                </c:pt>
                <c:pt idx="93">
                  <c:v>0.31</c:v>
                </c:pt>
                <c:pt idx="94">
                  <c:v>0.31333333333333335</c:v>
                </c:pt>
                <c:pt idx="95">
                  <c:v>0.31666666666666671</c:v>
                </c:pt>
                <c:pt idx="96">
                  <c:v>0.32</c:v>
                </c:pt>
                <c:pt idx="97">
                  <c:v>0.32333333333333336</c:v>
                </c:pt>
                <c:pt idx="98">
                  <c:v>0.32666666666666666</c:v>
                </c:pt>
                <c:pt idx="99">
                  <c:v>0.33</c:v>
                </c:pt>
                <c:pt idx="100">
                  <c:v>0.33333333333333337</c:v>
                </c:pt>
                <c:pt idx="101">
                  <c:v>0.33666666666666667</c:v>
                </c:pt>
                <c:pt idx="102">
                  <c:v>0.34</c:v>
                </c:pt>
                <c:pt idx="103">
                  <c:v>0.34333333333333338</c:v>
                </c:pt>
                <c:pt idx="104">
                  <c:v>0.34666666666666668</c:v>
                </c:pt>
                <c:pt idx="105">
                  <c:v>0.35000000000000003</c:v>
                </c:pt>
                <c:pt idx="106">
                  <c:v>0.35333333333333333</c:v>
                </c:pt>
                <c:pt idx="107">
                  <c:v>0.35666666666666669</c:v>
                </c:pt>
                <c:pt idx="108">
                  <c:v>0.36000000000000004</c:v>
                </c:pt>
                <c:pt idx="109">
                  <c:v>0.36333333333333334</c:v>
                </c:pt>
                <c:pt idx="110">
                  <c:v>0.3666666666666667</c:v>
                </c:pt>
                <c:pt idx="111">
                  <c:v>0.37000000000000005</c:v>
                </c:pt>
                <c:pt idx="112">
                  <c:v>0.37333333333333335</c:v>
                </c:pt>
                <c:pt idx="113">
                  <c:v>0.37666666666666671</c:v>
                </c:pt>
                <c:pt idx="114">
                  <c:v>0.38</c:v>
                </c:pt>
                <c:pt idx="115">
                  <c:v>0.38333333333333336</c:v>
                </c:pt>
                <c:pt idx="116">
                  <c:v>0.38666666666666671</c:v>
                </c:pt>
                <c:pt idx="117">
                  <c:v>0.39</c:v>
                </c:pt>
                <c:pt idx="118">
                  <c:v>0.39333333333333337</c:v>
                </c:pt>
                <c:pt idx="119">
                  <c:v>0.39666666666666667</c:v>
                </c:pt>
                <c:pt idx="120">
                  <c:v>0.4</c:v>
                </c:pt>
                <c:pt idx="121">
                  <c:v>0.40333333333333338</c:v>
                </c:pt>
                <c:pt idx="122">
                  <c:v>0.40666666666666668</c:v>
                </c:pt>
                <c:pt idx="123">
                  <c:v>0.41000000000000003</c:v>
                </c:pt>
                <c:pt idx="124">
                  <c:v>0.41333333333333339</c:v>
                </c:pt>
                <c:pt idx="125">
                  <c:v>0.41666666666666669</c:v>
                </c:pt>
                <c:pt idx="126">
                  <c:v>0.42000000000000004</c:v>
                </c:pt>
                <c:pt idx="127">
                  <c:v>0.42333333333333334</c:v>
                </c:pt>
                <c:pt idx="128">
                  <c:v>0.42666666666666669</c:v>
                </c:pt>
                <c:pt idx="129">
                  <c:v>0.43000000000000005</c:v>
                </c:pt>
                <c:pt idx="130">
                  <c:v>0.43333333333333335</c:v>
                </c:pt>
                <c:pt idx="131">
                  <c:v>0.4366666666666667</c:v>
                </c:pt>
                <c:pt idx="132">
                  <c:v>0.44</c:v>
                </c:pt>
                <c:pt idx="133">
                  <c:v>0.44333333333333336</c:v>
                </c:pt>
                <c:pt idx="134">
                  <c:v>0.44666666666666671</c:v>
                </c:pt>
                <c:pt idx="135">
                  <c:v>0.45</c:v>
                </c:pt>
                <c:pt idx="136">
                  <c:v>0.45333333333333337</c:v>
                </c:pt>
                <c:pt idx="137">
                  <c:v>0.45666666666666672</c:v>
                </c:pt>
                <c:pt idx="138">
                  <c:v>0.46</c:v>
                </c:pt>
                <c:pt idx="139">
                  <c:v>0.46333333333333337</c:v>
                </c:pt>
                <c:pt idx="140">
                  <c:v>0.46666666666666667</c:v>
                </c:pt>
                <c:pt idx="141">
                  <c:v>0.47000000000000003</c:v>
                </c:pt>
                <c:pt idx="142">
                  <c:v>0.47333333333333338</c:v>
                </c:pt>
                <c:pt idx="143">
                  <c:v>0.47666666666666668</c:v>
                </c:pt>
                <c:pt idx="144">
                  <c:v>0.48000000000000004</c:v>
                </c:pt>
                <c:pt idx="145">
                  <c:v>0.48333333333333334</c:v>
                </c:pt>
                <c:pt idx="146">
                  <c:v>0.48666666666666669</c:v>
                </c:pt>
                <c:pt idx="147">
                  <c:v>0.49000000000000005</c:v>
                </c:pt>
                <c:pt idx="148">
                  <c:v>0.49333333333333335</c:v>
                </c:pt>
                <c:pt idx="149">
                  <c:v>0.4966666666666667</c:v>
                </c:pt>
                <c:pt idx="150">
                  <c:v>0.5</c:v>
                </c:pt>
              </c:numCache>
            </c:numRef>
          </c:xVal>
          <c:yVal>
            <c:numRef>
              <c:f>Eff_vs_IOUT!$AO$7:$AO$157</c:f>
              <c:numCache>
                <c:formatCode>General</c:formatCode>
                <c:ptCount val="151"/>
                <c:pt idx="0">
                  <c:v>0</c:v>
                </c:pt>
                <c:pt idx="1">
                  <c:v>1.3084897907015752E-6</c:v>
                </c:pt>
                <c:pt idx="2">
                  <c:v>3.7009680164737987E-6</c:v>
                </c:pt>
                <c:pt idx="3">
                  <c:v>6.7991123960408815E-6</c:v>
                </c:pt>
                <c:pt idx="4">
                  <c:v>1.04679183256126E-5</c:v>
                </c:pt>
                <c:pt idx="5">
                  <c:v>1.4629360599365972E-5</c:v>
                </c:pt>
                <c:pt idx="6">
                  <c:v>1.9230793925160098E-5</c:v>
                </c:pt>
                <c:pt idx="7">
                  <c:v>2.4233570054843275E-5</c:v>
                </c:pt>
                <c:pt idx="8">
                  <c:v>2.960774413179039E-5</c:v>
                </c:pt>
                <c:pt idx="9">
                  <c:v>3.5329224348942527E-5</c:v>
                </c:pt>
                <c:pt idx="10">
                  <c:v>4.1378080336939909E-5</c:v>
                </c:pt>
                <c:pt idx="11">
                  <c:v>4.7737466455445715E-5</c:v>
                </c:pt>
                <c:pt idx="12">
                  <c:v>5.4392899168327039E-5</c:v>
                </c:pt>
                <c:pt idx="13">
                  <c:v>6.1331751439343718E-5</c:v>
                </c:pt>
                <c:pt idx="14">
                  <c:v>6.854288687255575E-5</c:v>
                </c:pt>
                <c:pt idx="15">
                  <c:v>7.6016387521044441E-5</c:v>
                </c:pt>
                <c:pt idx="16">
                  <c:v>8.3743346604900815E-5</c:v>
                </c:pt>
                <c:pt idx="17">
                  <c:v>9.1715707490783987E-5</c:v>
                </c:pt>
                <c:pt idx="18">
                  <c:v>9.9926136444792644E-5</c:v>
                </c:pt>
                <c:pt idx="19">
                  <c:v>1.0836792056013423E-4</c:v>
                </c:pt>
                <c:pt idx="20">
                  <c:v>1.1703488479492779E-4</c:v>
                </c:pt>
                <c:pt idx="21">
                  <c:v>1.2592132375130477E-4</c:v>
                </c:pt>
                <c:pt idx="22">
                  <c:v>1.3502194498924401E-4</c:v>
                </c:pt>
                <c:pt idx="23">
                  <c:v>1.4433182148212791E-4</c:v>
                </c:pt>
                <c:pt idx="24">
                  <c:v>1.5384635140128076E-4</c:v>
                </c:pt>
                <c:pt idx="25">
                  <c:v>1.63561223837697E-4</c:v>
                </c:pt>
                <c:pt idx="26">
                  <c:v>1.7347238937923096E-4</c:v>
                </c:pt>
                <c:pt idx="27">
                  <c:v>1.835760346931038E-4</c:v>
                </c:pt>
                <c:pt idx="28">
                  <c:v>1.9386856043874623E-4</c:v>
                </c:pt>
                <c:pt idx="29">
                  <c:v>2.0434656197004661E-4</c:v>
                </c:pt>
                <c:pt idx="30">
                  <c:v>2.1500681238973988E-4</c:v>
                </c:pt>
                <c:pt idx="31">
                  <c:v>2.2584624759964948E-4</c:v>
                </c:pt>
                <c:pt idx="32">
                  <c:v>2.3686195305432312E-4</c:v>
                </c:pt>
                <c:pt idx="33">
                  <c:v>2.4805115197634086E-4</c:v>
                </c:pt>
                <c:pt idx="34">
                  <c:v>2.5941119483222075E-4</c:v>
                </c:pt>
                <c:pt idx="35">
                  <c:v>2.7093954990066443E-4</c:v>
                </c:pt>
                <c:pt idx="36">
                  <c:v>2.8263379479154022E-4</c:v>
                </c:pt>
                <c:pt idx="37">
                  <c:v>2.9449160879582015E-4</c:v>
                </c:pt>
                <c:pt idx="38">
                  <c:v>3.2103444480833631E-4</c:v>
                </c:pt>
                <c:pt idx="39">
                  <c:v>3.3412829112569223E-4</c:v>
                </c:pt>
                <c:pt idx="40">
                  <c:v>3.4756223734739444E-4</c:v>
                </c:pt>
                <c:pt idx="41">
                  <c:v>3.6133628347344407E-4</c:v>
                </c:pt>
                <c:pt idx="42">
                  <c:v>3.7545042950384053E-4</c:v>
                </c:pt>
                <c:pt idx="43">
                  <c:v>3.8990467543858375E-4</c:v>
                </c:pt>
                <c:pt idx="44">
                  <c:v>4.0469902127767402E-4</c:v>
                </c:pt>
                <c:pt idx="45">
                  <c:v>4.1983346702111134E-4</c:v>
                </c:pt>
                <c:pt idx="46">
                  <c:v>4.3530801266889542E-4</c:v>
                </c:pt>
                <c:pt idx="47">
                  <c:v>4.5112265822102628E-4</c:v>
                </c:pt>
                <c:pt idx="48">
                  <c:v>4.6727740367750423E-4</c:v>
                </c:pt>
                <c:pt idx="49">
                  <c:v>4.8377224903832901E-4</c:v>
                </c:pt>
                <c:pt idx="50">
                  <c:v>5.0060719430350072E-4</c:v>
                </c:pt>
                <c:pt idx="51">
                  <c:v>5.1778223947301905E-4</c:v>
                </c:pt>
                <c:pt idx="52">
                  <c:v>5.3529738454688436E-4</c:v>
                </c:pt>
                <c:pt idx="53">
                  <c:v>5.5315262952509655E-4</c:v>
                </c:pt>
                <c:pt idx="54">
                  <c:v>5.7134797440765595E-4</c:v>
                </c:pt>
                <c:pt idx="55">
                  <c:v>5.8988341919456223E-4</c:v>
                </c:pt>
                <c:pt idx="56">
                  <c:v>6.0875896388581517E-4</c:v>
                </c:pt>
                <c:pt idx="57">
                  <c:v>6.27974608481415E-4</c:v>
                </c:pt>
                <c:pt idx="58">
                  <c:v>6.4753035298136235E-4</c:v>
                </c:pt>
                <c:pt idx="59">
                  <c:v>6.6742619738565582E-4</c:v>
                </c:pt>
                <c:pt idx="60">
                  <c:v>6.876621416942965E-4</c:v>
                </c:pt>
                <c:pt idx="61">
                  <c:v>7.0823818590728385E-4</c:v>
                </c:pt>
                <c:pt idx="62">
                  <c:v>7.2915433002461851E-4</c:v>
                </c:pt>
                <c:pt idx="63">
                  <c:v>7.5041057404630004E-4</c:v>
                </c:pt>
                <c:pt idx="64">
                  <c:v>7.7200691797232846E-4</c:v>
                </c:pt>
                <c:pt idx="65">
                  <c:v>7.9394336180270354E-4</c:v>
                </c:pt>
                <c:pt idx="66">
                  <c:v>8.162199055374254E-4</c:v>
                </c:pt>
                <c:pt idx="67">
                  <c:v>8.3883654917649457E-4</c:v>
                </c:pt>
                <c:pt idx="68">
                  <c:v>8.6179329271991007E-4</c:v>
                </c:pt>
                <c:pt idx="69">
                  <c:v>8.8509013616767278E-4</c:v>
                </c:pt>
                <c:pt idx="70">
                  <c:v>9.0872707951978248E-4</c:v>
                </c:pt>
                <c:pt idx="71">
                  <c:v>9.3270412277623907E-4</c:v>
                </c:pt>
                <c:pt idx="72">
                  <c:v>9.5702126593704307E-4</c:v>
                </c:pt>
                <c:pt idx="73">
                  <c:v>9.8167850900219298E-4</c:v>
                </c:pt>
                <c:pt idx="74">
                  <c:v>1.0066758519716903E-3</c:v>
                </c:pt>
                <c:pt idx="75">
                  <c:v>1.0320132948455345E-3</c:v>
                </c:pt>
                <c:pt idx="76">
                  <c:v>1.0576908376237263E-3</c:v>
                </c:pt>
                <c:pt idx="77">
                  <c:v>1.0837084803062642E-3</c:v>
                </c:pt>
                <c:pt idx="78">
                  <c:v>1.1100662228931484E-3</c:v>
                </c:pt>
                <c:pt idx="79">
                  <c:v>1.1367640653843802E-3</c:v>
                </c:pt>
                <c:pt idx="80">
                  <c:v>1.1638020077799588E-3</c:v>
                </c:pt>
                <c:pt idx="81">
                  <c:v>1.1911800500798847E-3</c:v>
                </c:pt>
                <c:pt idx="82">
                  <c:v>1.2188981922841569E-3</c:v>
                </c:pt>
                <c:pt idx="83">
                  <c:v>1.2469564343927768E-3</c:v>
                </c:pt>
                <c:pt idx="84">
                  <c:v>1.2753547764057435E-3</c:v>
                </c:pt>
                <c:pt idx="85">
                  <c:v>1.3040932183230563E-3</c:v>
                </c:pt>
                <c:pt idx="86">
                  <c:v>1.333171760144716E-3</c:v>
                </c:pt>
                <c:pt idx="87">
                  <c:v>1.3625904018707228E-3</c:v>
                </c:pt>
                <c:pt idx="88">
                  <c:v>1.3923491435010762E-3</c:v>
                </c:pt>
                <c:pt idx="89">
                  <c:v>1.4224479850357776E-3</c:v>
                </c:pt>
                <c:pt idx="90">
                  <c:v>1.4528869264748259E-3</c:v>
                </c:pt>
                <c:pt idx="91">
                  <c:v>1.4836659678182204E-3</c:v>
                </c:pt>
                <c:pt idx="92">
                  <c:v>1.5147851090659623E-3</c:v>
                </c:pt>
                <c:pt idx="93">
                  <c:v>1.5462443502180497E-3</c:v>
                </c:pt>
                <c:pt idx="94">
                  <c:v>1.5780436912744861E-3</c:v>
                </c:pt>
                <c:pt idx="95">
                  <c:v>1.6101831322352675E-3</c:v>
                </c:pt>
                <c:pt idx="96">
                  <c:v>1.6426626731003971E-3</c:v>
                </c:pt>
                <c:pt idx="97">
                  <c:v>1.6754823138698735E-3</c:v>
                </c:pt>
                <c:pt idx="98">
                  <c:v>1.7086420545436957E-3</c:v>
                </c:pt>
                <c:pt idx="99">
                  <c:v>1.7421418951218651E-3</c:v>
                </c:pt>
                <c:pt idx="100">
                  <c:v>1.7759818356043826E-3</c:v>
                </c:pt>
                <c:pt idx="101">
                  <c:v>1.8101618759912455E-3</c:v>
                </c:pt>
                <c:pt idx="102">
                  <c:v>1.8446820162824574E-3</c:v>
                </c:pt>
                <c:pt idx="103">
                  <c:v>1.8795422564780158E-3</c:v>
                </c:pt>
                <c:pt idx="104">
                  <c:v>1.9147425965779176E-3</c:v>
                </c:pt>
                <c:pt idx="105">
                  <c:v>1.9502830365821708E-3</c:v>
                </c:pt>
                <c:pt idx="106">
                  <c:v>1.9861635764907679E-3</c:v>
                </c:pt>
                <c:pt idx="107">
                  <c:v>2.022384216303714E-3</c:v>
                </c:pt>
                <c:pt idx="108">
                  <c:v>2.0589449560210055E-3</c:v>
                </c:pt>
                <c:pt idx="109">
                  <c:v>2.095845795642644E-3</c:v>
                </c:pt>
                <c:pt idx="110">
                  <c:v>2.1330867351686297E-3</c:v>
                </c:pt>
                <c:pt idx="111">
                  <c:v>2.1706677745989621E-3</c:v>
                </c:pt>
                <c:pt idx="112">
                  <c:v>2.2085889139336415E-3</c:v>
                </c:pt>
                <c:pt idx="113">
                  <c:v>2.246850153172668E-3</c:v>
                </c:pt>
                <c:pt idx="114">
                  <c:v>2.2854514923160403E-3</c:v>
                </c:pt>
                <c:pt idx="115">
                  <c:v>2.3243929313637619E-3</c:v>
                </c:pt>
                <c:pt idx="116">
                  <c:v>2.3636744703158285E-3</c:v>
                </c:pt>
                <c:pt idx="117">
                  <c:v>2.4032961091722434E-3</c:v>
                </c:pt>
                <c:pt idx="118">
                  <c:v>2.4432578479330037E-3</c:v>
                </c:pt>
                <c:pt idx="119">
                  <c:v>2.4835596865981115E-3</c:v>
                </c:pt>
                <c:pt idx="120">
                  <c:v>2.5242016251675672E-3</c:v>
                </c:pt>
                <c:pt idx="121">
                  <c:v>2.5651836636413688E-3</c:v>
                </c:pt>
                <c:pt idx="122">
                  <c:v>2.6065058020195171E-3</c:v>
                </c:pt>
                <c:pt idx="123">
                  <c:v>2.6481680403020115E-3</c:v>
                </c:pt>
                <c:pt idx="124">
                  <c:v>2.6901703784888544E-3</c:v>
                </c:pt>
                <c:pt idx="125">
                  <c:v>2.7325128165800443E-3</c:v>
                </c:pt>
                <c:pt idx="126">
                  <c:v>2.7751953545755792E-3</c:v>
                </c:pt>
                <c:pt idx="127">
                  <c:v>2.8182179924754625E-3</c:v>
                </c:pt>
                <c:pt idx="128">
                  <c:v>2.8615807302796946E-3</c:v>
                </c:pt>
                <c:pt idx="129">
                  <c:v>2.9052835679882704E-3</c:v>
                </c:pt>
                <c:pt idx="130">
                  <c:v>2.9493265056011945E-3</c:v>
                </c:pt>
                <c:pt idx="131">
                  <c:v>2.9937095431184658E-3</c:v>
                </c:pt>
                <c:pt idx="132">
                  <c:v>3.038432680540082E-3</c:v>
                </c:pt>
                <c:pt idx="133">
                  <c:v>3.0834959178660461E-3</c:v>
                </c:pt>
                <c:pt idx="134">
                  <c:v>3.1288992550963582E-3</c:v>
                </c:pt>
                <c:pt idx="135">
                  <c:v>3.1746426922310165E-3</c:v>
                </c:pt>
                <c:pt idx="136">
                  <c:v>3.2207262292700211E-3</c:v>
                </c:pt>
                <c:pt idx="137">
                  <c:v>3.267149866213374E-3</c:v>
                </c:pt>
                <c:pt idx="138">
                  <c:v>3.3139136030610715E-3</c:v>
                </c:pt>
                <c:pt idx="139">
                  <c:v>3.3610174398131186E-3</c:v>
                </c:pt>
                <c:pt idx="140">
                  <c:v>3.4084613764695103E-3</c:v>
                </c:pt>
                <c:pt idx="141">
                  <c:v>3.4562454130302508E-3</c:v>
                </c:pt>
                <c:pt idx="142">
                  <c:v>3.5043695494953371E-3</c:v>
                </c:pt>
                <c:pt idx="143">
                  <c:v>3.5528337858647717E-3</c:v>
                </c:pt>
                <c:pt idx="144">
                  <c:v>3.6016381221385526E-3</c:v>
                </c:pt>
                <c:pt idx="145">
                  <c:v>3.6507825583166798E-3</c:v>
                </c:pt>
                <c:pt idx="146">
                  <c:v>3.7002670943991531E-3</c:v>
                </c:pt>
                <c:pt idx="147">
                  <c:v>3.7500917303859745E-3</c:v>
                </c:pt>
                <c:pt idx="148">
                  <c:v>3.800256466277142E-3</c:v>
                </c:pt>
                <c:pt idx="149">
                  <c:v>3.8507613020726567E-3</c:v>
                </c:pt>
                <c:pt idx="150">
                  <c:v>3.9016062377725189E-3</c:v>
                </c:pt>
              </c:numCache>
            </c:numRef>
          </c:yVal>
          <c:smooth val="1"/>
          <c:extLst>
            <c:ext xmlns:c16="http://schemas.microsoft.com/office/drawing/2014/chart" uri="{C3380CC4-5D6E-409C-BE32-E72D297353CC}">
              <c16:uniqueId val="{00000003-EBB2-49C9-A014-1F538461E4EA}"/>
            </c:ext>
          </c:extLst>
        </c:ser>
        <c:dLbls>
          <c:showLegendKey val="0"/>
          <c:showVal val="0"/>
          <c:showCatName val="0"/>
          <c:showSerName val="0"/>
          <c:showPercent val="0"/>
          <c:showBubbleSize val="0"/>
        </c:dLbls>
        <c:axId val="157162112"/>
        <c:axId val="157160192"/>
      </c:scatterChart>
      <c:valAx>
        <c:axId val="144893056"/>
        <c:scaling>
          <c:orientation val="minMax"/>
        </c:scaling>
        <c:delete val="0"/>
        <c:axPos val="b"/>
        <c:majorGridlines/>
        <c:numFmt formatCode="General" sourceLinked="1"/>
        <c:majorTickMark val="out"/>
        <c:minorTickMark val="none"/>
        <c:tickLblPos val="nextTo"/>
        <c:crossAx val="144894592"/>
        <c:crosses val="autoZero"/>
        <c:crossBetween val="midCat"/>
      </c:valAx>
      <c:valAx>
        <c:axId val="144894592"/>
        <c:scaling>
          <c:orientation val="minMax"/>
          <c:max val="100"/>
          <c:min val="70"/>
        </c:scaling>
        <c:delete val="0"/>
        <c:axPos val="l"/>
        <c:majorGridlines/>
        <c:title>
          <c:tx>
            <c:rich>
              <a:bodyPr rot="-5400000" vert="horz"/>
              <a:lstStyle/>
              <a:p>
                <a:pPr>
                  <a:defRPr sz="1400"/>
                </a:pPr>
                <a:r>
                  <a:rPr lang="en-US" sz="1400"/>
                  <a:t>Efficiency</a:t>
                </a:r>
                <a:r>
                  <a:rPr lang="en-US" sz="1400" baseline="0"/>
                  <a:t> (%)</a:t>
                </a:r>
                <a:endParaRPr lang="en-US" sz="1400"/>
              </a:p>
            </c:rich>
          </c:tx>
          <c:overlay val="0"/>
        </c:title>
        <c:numFmt formatCode="General" sourceLinked="1"/>
        <c:majorTickMark val="out"/>
        <c:minorTickMark val="none"/>
        <c:tickLblPos val="nextTo"/>
        <c:crossAx val="144893056"/>
        <c:crosses val="autoZero"/>
        <c:crossBetween val="midCat"/>
      </c:valAx>
      <c:valAx>
        <c:axId val="157160192"/>
        <c:scaling>
          <c:orientation val="minMax"/>
        </c:scaling>
        <c:delete val="0"/>
        <c:axPos val="r"/>
        <c:title>
          <c:tx>
            <c:rich>
              <a:bodyPr rot="-5400000" vert="horz"/>
              <a:lstStyle/>
              <a:p>
                <a:pPr>
                  <a:defRPr sz="1400"/>
                </a:pPr>
                <a:r>
                  <a:rPr lang="en-US" sz="1400"/>
                  <a:t>Losses</a:t>
                </a:r>
                <a:r>
                  <a:rPr lang="en-US" sz="1400" baseline="0"/>
                  <a:t> (W)</a:t>
                </a:r>
                <a:endParaRPr lang="en-US" sz="1400"/>
              </a:p>
            </c:rich>
          </c:tx>
          <c:overlay val="0"/>
        </c:title>
        <c:numFmt formatCode="General" sourceLinked="1"/>
        <c:majorTickMark val="out"/>
        <c:minorTickMark val="none"/>
        <c:tickLblPos val="nextTo"/>
        <c:crossAx val="157162112"/>
        <c:crosses val="max"/>
        <c:crossBetween val="midCat"/>
      </c:valAx>
      <c:valAx>
        <c:axId val="157162112"/>
        <c:scaling>
          <c:orientation val="minMax"/>
        </c:scaling>
        <c:delete val="1"/>
        <c:axPos val="b"/>
        <c:title>
          <c:tx>
            <c:rich>
              <a:bodyPr/>
              <a:lstStyle/>
              <a:p>
                <a:pPr>
                  <a:defRPr/>
                </a:pPr>
                <a:r>
                  <a:rPr lang="en-US"/>
                  <a:t>Load</a:t>
                </a:r>
                <a:r>
                  <a:rPr lang="en-US" baseline="0"/>
                  <a:t> Current (A)</a:t>
                </a:r>
                <a:endParaRPr lang="en-US"/>
              </a:p>
            </c:rich>
          </c:tx>
          <c:overlay val="0"/>
        </c:title>
        <c:numFmt formatCode="General" sourceLinked="1"/>
        <c:majorTickMark val="out"/>
        <c:minorTickMark val="none"/>
        <c:tickLblPos val="nextTo"/>
        <c:crossAx val="157160192"/>
        <c:crosses val="autoZero"/>
        <c:crossBetween val="midCat"/>
      </c:valAx>
    </c:plotArea>
    <c:legend>
      <c:legendPos val="r"/>
      <c:layout>
        <c:manualLayout>
          <c:xMode val="edge"/>
          <c:yMode val="edge"/>
          <c:x val="0.51894403926190358"/>
          <c:y val="6.4862204724409449E-3"/>
          <c:w val="0.39609572935704079"/>
          <c:h val="0.12183653099700564"/>
        </c:manualLayout>
      </c:layout>
      <c:overlay val="1"/>
    </c:legend>
    <c:plotVisOnly val="1"/>
    <c:dispBlanksAs val="gap"/>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TW"/>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Efficiency</a:t>
            </a:r>
          </a:p>
        </c:rich>
      </c:tx>
      <c:overlay val="0"/>
    </c:title>
    <c:autoTitleDeleted val="0"/>
    <c:plotArea>
      <c:layout/>
      <c:scatterChart>
        <c:scatterStyle val="smoothMarker"/>
        <c:varyColors val="0"/>
        <c:ser>
          <c:idx val="0"/>
          <c:order val="0"/>
          <c:tx>
            <c:v>Eff</c:v>
          </c:tx>
          <c:marker>
            <c:symbol val="none"/>
          </c:marker>
          <c:xVal>
            <c:numRef>
              <c:f>Eff_vs_IOUT!$S$7:$S$157</c:f>
              <c:numCache>
                <c:formatCode>General</c:formatCode>
                <c:ptCount val="151"/>
                <c:pt idx="0">
                  <c:v>0</c:v>
                </c:pt>
                <c:pt idx="1">
                  <c:v>3.3333333333333335E-3</c:v>
                </c:pt>
                <c:pt idx="2">
                  <c:v>6.6666666666666671E-3</c:v>
                </c:pt>
                <c:pt idx="3">
                  <c:v>0.01</c:v>
                </c:pt>
                <c:pt idx="4">
                  <c:v>1.3333333333333334E-2</c:v>
                </c:pt>
                <c:pt idx="5">
                  <c:v>1.6666666666666666E-2</c:v>
                </c:pt>
                <c:pt idx="6">
                  <c:v>0.02</c:v>
                </c:pt>
                <c:pt idx="7">
                  <c:v>2.3333333333333334E-2</c:v>
                </c:pt>
                <c:pt idx="8">
                  <c:v>2.6666666666666668E-2</c:v>
                </c:pt>
                <c:pt idx="9">
                  <c:v>3.0000000000000002E-2</c:v>
                </c:pt>
                <c:pt idx="10">
                  <c:v>3.3333333333333333E-2</c:v>
                </c:pt>
                <c:pt idx="11">
                  <c:v>3.6666666666666667E-2</c:v>
                </c:pt>
                <c:pt idx="12">
                  <c:v>0.04</c:v>
                </c:pt>
                <c:pt idx="13">
                  <c:v>4.3333333333333335E-2</c:v>
                </c:pt>
                <c:pt idx="14">
                  <c:v>4.6666666666666669E-2</c:v>
                </c:pt>
                <c:pt idx="15">
                  <c:v>0.05</c:v>
                </c:pt>
                <c:pt idx="16">
                  <c:v>5.3333333333333337E-2</c:v>
                </c:pt>
                <c:pt idx="17">
                  <c:v>5.6666666666666671E-2</c:v>
                </c:pt>
                <c:pt idx="18">
                  <c:v>6.0000000000000005E-2</c:v>
                </c:pt>
                <c:pt idx="19">
                  <c:v>6.3333333333333339E-2</c:v>
                </c:pt>
                <c:pt idx="20">
                  <c:v>6.6666666666666666E-2</c:v>
                </c:pt>
                <c:pt idx="21">
                  <c:v>7.0000000000000007E-2</c:v>
                </c:pt>
                <c:pt idx="22">
                  <c:v>7.3333333333333334E-2</c:v>
                </c:pt>
                <c:pt idx="23">
                  <c:v>7.6666666666666675E-2</c:v>
                </c:pt>
                <c:pt idx="24">
                  <c:v>0.08</c:v>
                </c:pt>
                <c:pt idx="25">
                  <c:v>8.3333333333333343E-2</c:v>
                </c:pt>
                <c:pt idx="26">
                  <c:v>8.666666666666667E-2</c:v>
                </c:pt>
                <c:pt idx="27">
                  <c:v>9.0000000000000011E-2</c:v>
                </c:pt>
                <c:pt idx="28">
                  <c:v>9.3333333333333338E-2</c:v>
                </c:pt>
                <c:pt idx="29">
                  <c:v>9.6666666666666679E-2</c:v>
                </c:pt>
                <c:pt idx="30">
                  <c:v>0.1</c:v>
                </c:pt>
                <c:pt idx="31">
                  <c:v>0.10333333333333335</c:v>
                </c:pt>
                <c:pt idx="32">
                  <c:v>0.10666666666666667</c:v>
                </c:pt>
                <c:pt idx="33">
                  <c:v>0.11</c:v>
                </c:pt>
                <c:pt idx="34">
                  <c:v>0.11333333333333334</c:v>
                </c:pt>
                <c:pt idx="35">
                  <c:v>0.11666666666666667</c:v>
                </c:pt>
                <c:pt idx="36">
                  <c:v>0.12000000000000001</c:v>
                </c:pt>
                <c:pt idx="37">
                  <c:v>0.12333333333333334</c:v>
                </c:pt>
                <c:pt idx="38">
                  <c:v>0.12666666666666668</c:v>
                </c:pt>
                <c:pt idx="39">
                  <c:v>0.13</c:v>
                </c:pt>
                <c:pt idx="40">
                  <c:v>0.13333333333333333</c:v>
                </c:pt>
                <c:pt idx="41">
                  <c:v>0.13666666666666669</c:v>
                </c:pt>
                <c:pt idx="42">
                  <c:v>0.14000000000000001</c:v>
                </c:pt>
                <c:pt idx="43">
                  <c:v>0.14333333333333334</c:v>
                </c:pt>
                <c:pt idx="44">
                  <c:v>0.14666666666666667</c:v>
                </c:pt>
                <c:pt idx="45">
                  <c:v>0.15000000000000002</c:v>
                </c:pt>
                <c:pt idx="46">
                  <c:v>0.15333333333333335</c:v>
                </c:pt>
                <c:pt idx="47">
                  <c:v>0.15666666666666668</c:v>
                </c:pt>
                <c:pt idx="48">
                  <c:v>0.16</c:v>
                </c:pt>
                <c:pt idx="49">
                  <c:v>0.16333333333333333</c:v>
                </c:pt>
                <c:pt idx="50">
                  <c:v>0.16666666666666669</c:v>
                </c:pt>
                <c:pt idx="51">
                  <c:v>0.17</c:v>
                </c:pt>
                <c:pt idx="52">
                  <c:v>0.17333333333333334</c:v>
                </c:pt>
                <c:pt idx="53">
                  <c:v>0.17666666666666667</c:v>
                </c:pt>
                <c:pt idx="54">
                  <c:v>0.18000000000000002</c:v>
                </c:pt>
                <c:pt idx="55">
                  <c:v>0.18333333333333335</c:v>
                </c:pt>
                <c:pt idx="56">
                  <c:v>0.18666666666666668</c:v>
                </c:pt>
                <c:pt idx="57">
                  <c:v>0.19</c:v>
                </c:pt>
                <c:pt idx="58">
                  <c:v>0.19333333333333336</c:v>
                </c:pt>
                <c:pt idx="59">
                  <c:v>0.19666666666666668</c:v>
                </c:pt>
                <c:pt idx="60">
                  <c:v>0.2</c:v>
                </c:pt>
                <c:pt idx="61">
                  <c:v>0.20333333333333334</c:v>
                </c:pt>
                <c:pt idx="62">
                  <c:v>0.20666666666666669</c:v>
                </c:pt>
                <c:pt idx="63">
                  <c:v>0.21000000000000002</c:v>
                </c:pt>
                <c:pt idx="64">
                  <c:v>0.21333333333333335</c:v>
                </c:pt>
                <c:pt idx="65">
                  <c:v>0.21666666666666667</c:v>
                </c:pt>
                <c:pt idx="66">
                  <c:v>0.22</c:v>
                </c:pt>
                <c:pt idx="67">
                  <c:v>0.22333333333333336</c:v>
                </c:pt>
                <c:pt idx="68">
                  <c:v>0.22666666666666668</c:v>
                </c:pt>
                <c:pt idx="69">
                  <c:v>0.23</c:v>
                </c:pt>
                <c:pt idx="70">
                  <c:v>0.23333333333333334</c:v>
                </c:pt>
                <c:pt idx="71">
                  <c:v>0.23666666666666669</c:v>
                </c:pt>
                <c:pt idx="72">
                  <c:v>0.24000000000000002</c:v>
                </c:pt>
                <c:pt idx="73">
                  <c:v>0.24333333333333335</c:v>
                </c:pt>
                <c:pt idx="74">
                  <c:v>0.24666666666666667</c:v>
                </c:pt>
                <c:pt idx="75">
                  <c:v>0.25</c:v>
                </c:pt>
                <c:pt idx="76">
                  <c:v>0.25333333333333335</c:v>
                </c:pt>
                <c:pt idx="77">
                  <c:v>0.25666666666666671</c:v>
                </c:pt>
                <c:pt idx="78">
                  <c:v>0.26</c:v>
                </c:pt>
                <c:pt idx="79">
                  <c:v>0.26333333333333336</c:v>
                </c:pt>
                <c:pt idx="80">
                  <c:v>0.26666666666666666</c:v>
                </c:pt>
                <c:pt idx="81">
                  <c:v>0.27</c:v>
                </c:pt>
                <c:pt idx="82">
                  <c:v>0.27333333333333337</c:v>
                </c:pt>
                <c:pt idx="83">
                  <c:v>0.27666666666666667</c:v>
                </c:pt>
                <c:pt idx="84">
                  <c:v>0.28000000000000003</c:v>
                </c:pt>
                <c:pt idx="85">
                  <c:v>0.28333333333333333</c:v>
                </c:pt>
                <c:pt idx="86">
                  <c:v>0.28666666666666668</c:v>
                </c:pt>
                <c:pt idx="87">
                  <c:v>0.29000000000000004</c:v>
                </c:pt>
                <c:pt idx="88">
                  <c:v>0.29333333333333333</c:v>
                </c:pt>
                <c:pt idx="89">
                  <c:v>0.29666666666666669</c:v>
                </c:pt>
                <c:pt idx="90">
                  <c:v>0.30000000000000004</c:v>
                </c:pt>
                <c:pt idx="91">
                  <c:v>0.30333333333333334</c:v>
                </c:pt>
                <c:pt idx="92">
                  <c:v>0.3066666666666667</c:v>
                </c:pt>
                <c:pt idx="93">
                  <c:v>0.31</c:v>
                </c:pt>
                <c:pt idx="94">
                  <c:v>0.31333333333333335</c:v>
                </c:pt>
                <c:pt idx="95">
                  <c:v>0.31666666666666671</c:v>
                </c:pt>
                <c:pt idx="96">
                  <c:v>0.32</c:v>
                </c:pt>
                <c:pt idx="97">
                  <c:v>0.32333333333333336</c:v>
                </c:pt>
                <c:pt idx="98">
                  <c:v>0.32666666666666666</c:v>
                </c:pt>
                <c:pt idx="99">
                  <c:v>0.33</c:v>
                </c:pt>
                <c:pt idx="100">
                  <c:v>0.33333333333333337</c:v>
                </c:pt>
                <c:pt idx="101">
                  <c:v>0.33666666666666667</c:v>
                </c:pt>
                <c:pt idx="102">
                  <c:v>0.34</c:v>
                </c:pt>
                <c:pt idx="103">
                  <c:v>0.34333333333333338</c:v>
                </c:pt>
                <c:pt idx="104">
                  <c:v>0.34666666666666668</c:v>
                </c:pt>
                <c:pt idx="105">
                  <c:v>0.35000000000000003</c:v>
                </c:pt>
                <c:pt idx="106">
                  <c:v>0.35333333333333333</c:v>
                </c:pt>
                <c:pt idx="107">
                  <c:v>0.35666666666666669</c:v>
                </c:pt>
                <c:pt idx="108">
                  <c:v>0.36000000000000004</c:v>
                </c:pt>
                <c:pt idx="109">
                  <c:v>0.36333333333333334</c:v>
                </c:pt>
                <c:pt idx="110">
                  <c:v>0.3666666666666667</c:v>
                </c:pt>
                <c:pt idx="111">
                  <c:v>0.37000000000000005</c:v>
                </c:pt>
                <c:pt idx="112">
                  <c:v>0.37333333333333335</c:v>
                </c:pt>
                <c:pt idx="113">
                  <c:v>0.37666666666666671</c:v>
                </c:pt>
                <c:pt idx="114">
                  <c:v>0.38</c:v>
                </c:pt>
                <c:pt idx="115">
                  <c:v>0.38333333333333336</c:v>
                </c:pt>
                <c:pt idx="116">
                  <c:v>0.38666666666666671</c:v>
                </c:pt>
                <c:pt idx="117">
                  <c:v>0.39</c:v>
                </c:pt>
                <c:pt idx="118">
                  <c:v>0.39333333333333337</c:v>
                </c:pt>
                <c:pt idx="119">
                  <c:v>0.39666666666666667</c:v>
                </c:pt>
                <c:pt idx="120">
                  <c:v>0.4</c:v>
                </c:pt>
                <c:pt idx="121">
                  <c:v>0.40333333333333338</c:v>
                </c:pt>
                <c:pt idx="122">
                  <c:v>0.40666666666666668</c:v>
                </c:pt>
                <c:pt idx="123">
                  <c:v>0.41000000000000003</c:v>
                </c:pt>
                <c:pt idx="124">
                  <c:v>0.41333333333333339</c:v>
                </c:pt>
                <c:pt idx="125">
                  <c:v>0.41666666666666669</c:v>
                </c:pt>
                <c:pt idx="126">
                  <c:v>0.42000000000000004</c:v>
                </c:pt>
                <c:pt idx="127">
                  <c:v>0.42333333333333334</c:v>
                </c:pt>
                <c:pt idx="128">
                  <c:v>0.42666666666666669</c:v>
                </c:pt>
                <c:pt idx="129">
                  <c:v>0.43000000000000005</c:v>
                </c:pt>
                <c:pt idx="130">
                  <c:v>0.43333333333333335</c:v>
                </c:pt>
                <c:pt idx="131">
                  <c:v>0.4366666666666667</c:v>
                </c:pt>
                <c:pt idx="132">
                  <c:v>0.44</c:v>
                </c:pt>
                <c:pt idx="133">
                  <c:v>0.44333333333333336</c:v>
                </c:pt>
                <c:pt idx="134">
                  <c:v>0.44666666666666671</c:v>
                </c:pt>
                <c:pt idx="135">
                  <c:v>0.45</c:v>
                </c:pt>
                <c:pt idx="136">
                  <c:v>0.45333333333333337</c:v>
                </c:pt>
                <c:pt idx="137">
                  <c:v>0.45666666666666672</c:v>
                </c:pt>
                <c:pt idx="138">
                  <c:v>0.46</c:v>
                </c:pt>
                <c:pt idx="139">
                  <c:v>0.46333333333333337</c:v>
                </c:pt>
                <c:pt idx="140">
                  <c:v>0.46666666666666667</c:v>
                </c:pt>
                <c:pt idx="141">
                  <c:v>0.47000000000000003</c:v>
                </c:pt>
                <c:pt idx="142">
                  <c:v>0.47333333333333338</c:v>
                </c:pt>
                <c:pt idx="143">
                  <c:v>0.47666666666666668</c:v>
                </c:pt>
                <c:pt idx="144">
                  <c:v>0.48000000000000004</c:v>
                </c:pt>
                <c:pt idx="145">
                  <c:v>0.48333333333333334</c:v>
                </c:pt>
                <c:pt idx="146">
                  <c:v>0.48666666666666669</c:v>
                </c:pt>
                <c:pt idx="147">
                  <c:v>0.49000000000000005</c:v>
                </c:pt>
                <c:pt idx="148">
                  <c:v>0.49333333333333335</c:v>
                </c:pt>
                <c:pt idx="149">
                  <c:v>0.4966666666666667</c:v>
                </c:pt>
                <c:pt idx="150">
                  <c:v>0.5</c:v>
                </c:pt>
              </c:numCache>
            </c:numRef>
          </c:xVal>
          <c:yVal>
            <c:numRef>
              <c:f>Eff_vs_IOUT!$AT$7:$AT$157</c:f>
              <c:numCache>
                <c:formatCode>General</c:formatCode>
                <c:ptCount val="151"/>
                <c:pt idx="0">
                  <c:v>0</c:v>
                </c:pt>
                <c:pt idx="1">
                  <c:v>31.890746358682115</c:v>
                </c:pt>
                <c:pt idx="2">
                  <c:v>48.130228536253192</c:v>
                </c:pt>
                <c:pt idx="3">
                  <c:v>57.969441816380595</c:v>
                </c:pt>
                <c:pt idx="4">
                  <c:v>64.56885353811947</c:v>
                </c:pt>
                <c:pt idx="5">
                  <c:v>69.302213995444646</c:v>
                </c:pt>
                <c:pt idx="6">
                  <c:v>72.862805764574901</c:v>
                </c:pt>
                <c:pt idx="7">
                  <c:v>75.638338668367467</c:v>
                </c:pt>
                <c:pt idx="8">
                  <c:v>77.862593690326293</c:v>
                </c:pt>
                <c:pt idx="9">
                  <c:v>79.684915344412531</c:v>
                </c:pt>
                <c:pt idx="10">
                  <c:v>81.205174655327568</c:v>
                </c:pt>
                <c:pt idx="11">
                  <c:v>82.492688258754342</c:v>
                </c:pt>
                <c:pt idx="12">
                  <c:v>83.597072620049559</c:v>
                </c:pt>
                <c:pt idx="13">
                  <c:v>84.554778189969255</c:v>
                </c:pt>
                <c:pt idx="14">
                  <c:v>85.393184682930823</c:v>
                </c:pt>
                <c:pt idx="15">
                  <c:v>86.133257302776158</c:v>
                </c:pt>
                <c:pt idx="16">
                  <c:v>86.791321223726939</c:v>
                </c:pt>
                <c:pt idx="17">
                  <c:v>87.380277902992603</c:v>
                </c:pt>
                <c:pt idx="18">
                  <c:v>87.910457855102123</c:v>
                </c:pt>
                <c:pt idx="19">
                  <c:v>88.39023063722334</c:v>
                </c:pt>
                <c:pt idx="20">
                  <c:v>88.826449035025263</c:v>
                </c:pt>
                <c:pt idx="21">
                  <c:v>89.224777746582248</c:v>
                </c:pt>
                <c:pt idx="22">
                  <c:v>89.58994014809349</c:v>
                </c:pt>
                <c:pt idx="23">
                  <c:v>89.925906010421016</c:v>
                </c:pt>
                <c:pt idx="24">
                  <c:v>90.236036018983043</c:v>
                </c:pt>
                <c:pt idx="25">
                  <c:v>90.52319426543221</c:v>
                </c:pt>
                <c:pt idx="26">
                  <c:v>90.78983669703679</c:v>
                </c:pt>
                <c:pt idx="27">
                  <c:v>91.038081312309458</c:v>
                </c:pt>
                <c:pt idx="28">
                  <c:v>91.269764351631409</c:v>
                </c:pt>
                <c:pt idx="29">
                  <c:v>91.48648563778832</c:v>
                </c:pt>
                <c:pt idx="30">
                  <c:v>91.689645434427874</c:v>
                </c:pt>
                <c:pt idx="31">
                  <c:v>91.880474617671297</c:v>
                </c:pt>
                <c:pt idx="32">
                  <c:v>92.060059534619867</c:v>
                </c:pt>
                <c:pt idx="33">
                  <c:v>92.229362609160432</c:v>
                </c:pt>
                <c:pt idx="34">
                  <c:v>92.389239520310198</c:v>
                </c:pt>
                <c:pt idx="35">
                  <c:v>92.540453600264925</c:v>
                </c:pt>
                <c:pt idx="36">
                  <c:v>92.683687963332531</c:v>
                </c:pt>
                <c:pt idx="37">
                  <c:v>92.819555772272849</c:v>
                </c:pt>
                <c:pt idx="38">
                  <c:v>92.911096295170367</c:v>
                </c:pt>
                <c:pt idx="39">
                  <c:v>93.033141995527231</c:v>
                </c:pt>
                <c:pt idx="40">
                  <c:v>93.149284087511731</c:v>
                </c:pt>
                <c:pt idx="41">
                  <c:v>93.259933638512749</c:v>
                </c:pt>
                <c:pt idx="42">
                  <c:v>93.365464418781784</c:v>
                </c:pt>
                <c:pt idx="43">
                  <c:v>93.466217037684174</c:v>
                </c:pt>
                <c:pt idx="44">
                  <c:v>93.562502541442214</c:v>
                </c:pt>
                <c:pt idx="45">
                  <c:v>93.654605552427611</c:v>
                </c:pt>
                <c:pt idx="46">
                  <c:v>93.742787016741588</c:v>
                </c:pt>
                <c:pt idx="47">
                  <c:v>93.827286615944061</c:v>
                </c:pt>
                <c:pt idx="48">
                  <c:v>93.908324889869917</c:v>
                </c:pt>
                <c:pt idx="49">
                  <c:v>93.986105110121599</c:v>
                </c:pt>
                <c:pt idx="50">
                  <c:v>94.060814937744624</c:v>
                </c:pt>
                <c:pt idx="51">
                  <c:v>94.132627893544864</c:v>
                </c:pt>
                <c:pt idx="52">
                  <c:v>94.201704665295892</c:v>
                </c:pt>
                <c:pt idx="53">
                  <c:v>94.268194272563804</c:v>
                </c:pt>
                <c:pt idx="54">
                  <c:v>94.332235106919882</c:v>
                </c:pt>
                <c:pt idx="55">
                  <c:v>94.393955862821727</c:v>
                </c:pt>
                <c:pt idx="56">
                  <c:v>94.453476372338159</c:v>
                </c:pt>
                <c:pt idx="57">
                  <c:v>94.510908355110161</c:v>
                </c:pt>
                <c:pt idx="58">
                  <c:v>94.566356093422428</c:v>
                </c:pt>
                <c:pt idx="59">
                  <c:v>94.619917040967806</c:v>
                </c:pt>
                <c:pt idx="60">
                  <c:v>94.671682372780182</c:v>
                </c:pt>
                <c:pt idx="61">
                  <c:v>94.721737482863972</c:v>
                </c:pt>
                <c:pt idx="62">
                  <c:v>94.770162435233274</c:v>
                </c:pt>
                <c:pt idx="63">
                  <c:v>94.81703237337139</c:v>
                </c:pt>
                <c:pt idx="64">
                  <c:v>94.862417892514983</c:v>
                </c:pt>
                <c:pt idx="65">
                  <c:v>94.906385378642085</c:v>
                </c:pt>
                <c:pt idx="66">
                  <c:v>94.948997317586873</c:v>
                </c:pt>
                <c:pt idx="67">
                  <c:v>94.990312577308217</c:v>
                </c:pt>
                <c:pt idx="68">
                  <c:v>95.030386665993589</c:v>
                </c:pt>
                <c:pt idx="69">
                  <c:v>95.069271968377407</c:v>
                </c:pt>
                <c:pt idx="70">
                  <c:v>95.107017962389705</c:v>
                </c:pt>
                <c:pt idx="71">
                  <c:v>95.143671418018954</c:v>
                </c:pt>
                <c:pt idx="72">
                  <c:v>95.179276580069427</c:v>
                </c:pt>
                <c:pt idx="73">
                  <c:v>95.213875336314828</c:v>
                </c:pt>
                <c:pt idx="74">
                  <c:v>95.247507372391354</c:v>
                </c:pt>
                <c:pt idx="75">
                  <c:v>95.280210314634758</c:v>
                </c:pt>
                <c:pt idx="76">
                  <c:v>95.312019861942005</c:v>
                </c:pt>
                <c:pt idx="77">
                  <c:v>95.342969907628785</c:v>
                </c:pt>
                <c:pt idx="78">
                  <c:v>95.373092652157723</c:v>
                </c:pt>
                <c:pt idx="79">
                  <c:v>95.402418707524973</c:v>
                </c:pt>
                <c:pt idx="80">
                  <c:v>95.430977194016947</c:v>
                </c:pt>
                <c:pt idx="81">
                  <c:v>95.458795829979564</c:v>
                </c:pt>
                <c:pt idx="82">
                  <c:v>95.485901015182137</c:v>
                </c:pt>
                <c:pt idx="83">
                  <c:v>95.512317908302606</c:v>
                </c:pt>
                <c:pt idx="84">
                  <c:v>95.538070499012122</c:v>
                </c:pt>
                <c:pt idx="85">
                  <c:v>95.563181675093318</c:v>
                </c:pt>
                <c:pt idx="86">
                  <c:v>95.587673284986721</c:v>
                </c:pt>
                <c:pt idx="87">
                  <c:v>95.611566196124485</c:v>
                </c:pt>
                <c:pt idx="88">
                  <c:v>95.63488034937923</c:v>
                </c:pt>
                <c:pt idx="89">
                  <c:v>95.657634809925796</c:v>
                </c:pt>
                <c:pt idx="90">
                  <c:v>95.679847814789383</c:v>
                </c:pt>
                <c:pt idx="91">
                  <c:v>95.701536817328702</c:v>
                </c:pt>
                <c:pt idx="92">
                  <c:v>95.72271852888241</c:v>
                </c:pt>
                <c:pt idx="93">
                  <c:v>95.743408957787551</c:v>
                </c:pt>
                <c:pt idx="94">
                  <c:v>95.76362344596167</c:v>
                </c:pt>
                <c:pt idx="95">
                  <c:v>95.783376703223936</c:v>
                </c:pt>
                <c:pt idx="96">
                  <c:v>95.802682839516933</c:v>
                </c:pt>
                <c:pt idx="97">
                  <c:v>95.821555395177256</c:v>
                </c:pt>
                <c:pt idx="98">
                  <c:v>95.840007369391415</c:v>
                </c:pt>
                <c:pt idx="99">
                  <c:v>95.858051246962745</c:v>
                </c:pt>
                <c:pt idx="100">
                  <c:v>95.875699023505092</c:v>
                </c:pt>
                <c:pt idx="101">
                  <c:v>95.892962229170209</c:v>
                </c:pt>
                <c:pt idx="102">
                  <c:v>95.909851951007198</c:v>
                </c:pt>
                <c:pt idx="103">
                  <c:v>95.926378854045495</c:v>
                </c:pt>
                <c:pt idx="104">
                  <c:v>95.942553201185461</c:v>
                </c:pt>
                <c:pt idx="105">
                  <c:v>95.958384871974289</c:v>
                </c:pt>
                <c:pt idx="106">
                  <c:v>95.973883380339828</c:v>
                </c:pt>
                <c:pt idx="107">
                  <c:v>95.989057891348978</c:v>
                </c:pt>
                <c:pt idx="108">
                  <c:v>96.003917237052576</c:v>
                </c:pt>
                <c:pt idx="109">
                  <c:v>96.018469931474641</c:v>
                </c:pt>
                <c:pt idx="110">
                  <c:v>96.032724184799093</c:v>
                </c:pt>
                <c:pt idx="111">
                  <c:v>96.046687916803819</c:v>
                </c:pt>
                <c:pt idx="112">
                  <c:v>96.06036876958828</c:v>
                </c:pt>
                <c:pt idx="113">
                  <c:v>96.073774119637363</c:v>
                </c:pt>
                <c:pt idx="114">
                  <c:v>96.086911089261989</c:v>
                </c:pt>
                <c:pt idx="115">
                  <c:v>96.099786557453186</c:v>
                </c:pt>
                <c:pt idx="116">
                  <c:v>96.112407170184838</c:v>
                </c:pt>
                <c:pt idx="117">
                  <c:v>96.124779350197286</c:v>
                </c:pt>
                <c:pt idx="118">
                  <c:v>96.136909306291983</c:v>
                </c:pt>
                <c:pt idx="119">
                  <c:v>96.148803042165838</c:v>
                </c:pt>
                <c:pt idx="120">
                  <c:v>96.160466364811114</c:v>
                </c:pt>
                <c:pt idx="121">
                  <c:v>96.171904892506078</c:v>
                </c:pt>
                <c:pt idx="122">
                  <c:v>96.183124062419125</c:v>
                </c:pt>
                <c:pt idx="123">
                  <c:v>96.194129137848222</c:v>
                </c:pt>
                <c:pt idx="124">
                  <c:v>96.204925215115878</c:v>
                </c:pt>
                <c:pt idx="125">
                  <c:v>96.215517230138502</c:v>
                </c:pt>
                <c:pt idx="126">
                  <c:v>96.225909964688086</c:v>
                </c:pt>
                <c:pt idx="127">
                  <c:v>96.236108052362809</c:v>
                </c:pt>
                <c:pt idx="128">
                  <c:v>96.246115984282383</c:v>
                </c:pt>
                <c:pt idx="129">
                  <c:v>96.255938114522451</c:v>
                </c:pt>
                <c:pt idx="130">
                  <c:v>96.265578665302357</c:v>
                </c:pt>
                <c:pt idx="131">
                  <c:v>96.275041731939027</c:v>
                </c:pt>
                <c:pt idx="132">
                  <c:v>96.284331287578979</c:v>
                </c:pt>
                <c:pt idx="133">
                  <c:v>96.293451187720407</c:v>
                </c:pt>
                <c:pt idx="134">
                  <c:v>96.302405174535622</c:v>
                </c:pt>
                <c:pt idx="135">
                  <c:v>96.311196881004619</c:v>
                </c:pt>
                <c:pt idx="136">
                  <c:v>96.319829834868671</c:v>
                </c:pt>
                <c:pt idx="137">
                  <c:v>96.328307462413775</c:v>
                </c:pt>
                <c:pt idx="138">
                  <c:v>96.33663309209166</c:v>
                </c:pt>
                <c:pt idx="139">
                  <c:v>96.344809957987081</c:v>
                </c:pt>
                <c:pt idx="140">
                  <c:v>96.352841203138581</c:v>
                </c:pt>
                <c:pt idx="141">
                  <c:v>96.360729882719937</c:v>
                </c:pt>
                <c:pt idx="142">
                  <c:v>96.368478967089359</c:v>
                </c:pt>
                <c:pt idx="143">
                  <c:v>96.376091344712307</c:v>
                </c:pt>
                <c:pt idx="144">
                  <c:v>96.383569824964425</c:v>
                </c:pt>
                <c:pt idx="145">
                  <c:v>96.390917140820164</c:v>
                </c:pt>
                <c:pt idx="146">
                  <c:v>96.398135951432295</c:v>
                </c:pt>
                <c:pt idx="147">
                  <c:v>96.405228844607862</c:v>
                </c:pt>
                <c:pt idx="148">
                  <c:v>96.412198339184883</c:v>
                </c:pt>
                <c:pt idx="149">
                  <c:v>96.419046887314892</c:v>
                </c:pt>
                <c:pt idx="150">
                  <c:v>96.425776876655306</c:v>
                </c:pt>
              </c:numCache>
            </c:numRef>
          </c:yVal>
          <c:smooth val="0"/>
          <c:extLst>
            <c:ext xmlns:c16="http://schemas.microsoft.com/office/drawing/2014/chart" uri="{C3380CC4-5D6E-409C-BE32-E72D297353CC}">
              <c16:uniqueId val="{00000000-8AEF-4CD2-9E91-5056CF00EB36}"/>
            </c:ext>
          </c:extLst>
        </c:ser>
        <c:dLbls>
          <c:showLegendKey val="0"/>
          <c:showVal val="0"/>
          <c:showCatName val="0"/>
          <c:showSerName val="0"/>
          <c:showPercent val="0"/>
          <c:showBubbleSize val="0"/>
        </c:dLbls>
        <c:axId val="145036800"/>
        <c:axId val="145038336"/>
      </c:scatterChart>
      <c:scatterChart>
        <c:scatterStyle val="smoothMarker"/>
        <c:varyColors val="0"/>
        <c:ser>
          <c:idx val="1"/>
          <c:order val="1"/>
          <c:tx>
            <c:v>MOSFET</c:v>
          </c:tx>
          <c:marker>
            <c:symbol val="none"/>
          </c:marker>
          <c:xVal>
            <c:numRef>
              <c:f>Eff_vs_IOUT!$S$7:$S$157</c:f>
              <c:numCache>
                <c:formatCode>General</c:formatCode>
                <c:ptCount val="151"/>
                <c:pt idx="0">
                  <c:v>0</c:v>
                </c:pt>
                <c:pt idx="1">
                  <c:v>3.3333333333333335E-3</c:v>
                </c:pt>
                <c:pt idx="2">
                  <c:v>6.6666666666666671E-3</c:v>
                </c:pt>
                <c:pt idx="3">
                  <c:v>0.01</c:v>
                </c:pt>
                <c:pt idx="4">
                  <c:v>1.3333333333333334E-2</c:v>
                </c:pt>
                <c:pt idx="5">
                  <c:v>1.6666666666666666E-2</c:v>
                </c:pt>
                <c:pt idx="6">
                  <c:v>0.02</c:v>
                </c:pt>
                <c:pt idx="7">
                  <c:v>2.3333333333333334E-2</c:v>
                </c:pt>
                <c:pt idx="8">
                  <c:v>2.6666666666666668E-2</c:v>
                </c:pt>
                <c:pt idx="9">
                  <c:v>3.0000000000000002E-2</c:v>
                </c:pt>
                <c:pt idx="10">
                  <c:v>3.3333333333333333E-2</c:v>
                </c:pt>
                <c:pt idx="11">
                  <c:v>3.6666666666666667E-2</c:v>
                </c:pt>
                <c:pt idx="12">
                  <c:v>0.04</c:v>
                </c:pt>
                <c:pt idx="13">
                  <c:v>4.3333333333333335E-2</c:v>
                </c:pt>
                <c:pt idx="14">
                  <c:v>4.6666666666666669E-2</c:v>
                </c:pt>
                <c:pt idx="15">
                  <c:v>0.05</c:v>
                </c:pt>
                <c:pt idx="16">
                  <c:v>5.3333333333333337E-2</c:v>
                </c:pt>
                <c:pt idx="17">
                  <c:v>5.6666666666666671E-2</c:v>
                </c:pt>
                <c:pt idx="18">
                  <c:v>6.0000000000000005E-2</c:v>
                </c:pt>
                <c:pt idx="19">
                  <c:v>6.3333333333333339E-2</c:v>
                </c:pt>
                <c:pt idx="20">
                  <c:v>6.6666666666666666E-2</c:v>
                </c:pt>
                <c:pt idx="21">
                  <c:v>7.0000000000000007E-2</c:v>
                </c:pt>
                <c:pt idx="22">
                  <c:v>7.3333333333333334E-2</c:v>
                </c:pt>
                <c:pt idx="23">
                  <c:v>7.6666666666666675E-2</c:v>
                </c:pt>
                <c:pt idx="24">
                  <c:v>0.08</c:v>
                </c:pt>
                <c:pt idx="25">
                  <c:v>8.3333333333333343E-2</c:v>
                </c:pt>
                <c:pt idx="26">
                  <c:v>8.666666666666667E-2</c:v>
                </c:pt>
                <c:pt idx="27">
                  <c:v>9.0000000000000011E-2</c:v>
                </c:pt>
                <c:pt idx="28">
                  <c:v>9.3333333333333338E-2</c:v>
                </c:pt>
                <c:pt idx="29">
                  <c:v>9.6666666666666679E-2</c:v>
                </c:pt>
                <c:pt idx="30">
                  <c:v>0.1</c:v>
                </c:pt>
                <c:pt idx="31">
                  <c:v>0.10333333333333335</c:v>
                </c:pt>
                <c:pt idx="32">
                  <c:v>0.10666666666666667</c:v>
                </c:pt>
                <c:pt idx="33">
                  <c:v>0.11</c:v>
                </c:pt>
                <c:pt idx="34">
                  <c:v>0.11333333333333334</c:v>
                </c:pt>
                <c:pt idx="35">
                  <c:v>0.11666666666666667</c:v>
                </c:pt>
                <c:pt idx="36">
                  <c:v>0.12000000000000001</c:v>
                </c:pt>
                <c:pt idx="37">
                  <c:v>0.12333333333333334</c:v>
                </c:pt>
                <c:pt idx="38">
                  <c:v>0.12666666666666668</c:v>
                </c:pt>
                <c:pt idx="39">
                  <c:v>0.13</c:v>
                </c:pt>
                <c:pt idx="40">
                  <c:v>0.13333333333333333</c:v>
                </c:pt>
                <c:pt idx="41">
                  <c:v>0.13666666666666669</c:v>
                </c:pt>
                <c:pt idx="42">
                  <c:v>0.14000000000000001</c:v>
                </c:pt>
                <c:pt idx="43">
                  <c:v>0.14333333333333334</c:v>
                </c:pt>
                <c:pt idx="44">
                  <c:v>0.14666666666666667</c:v>
                </c:pt>
                <c:pt idx="45">
                  <c:v>0.15000000000000002</c:v>
                </c:pt>
                <c:pt idx="46">
                  <c:v>0.15333333333333335</c:v>
                </c:pt>
                <c:pt idx="47">
                  <c:v>0.15666666666666668</c:v>
                </c:pt>
                <c:pt idx="48">
                  <c:v>0.16</c:v>
                </c:pt>
                <c:pt idx="49">
                  <c:v>0.16333333333333333</c:v>
                </c:pt>
                <c:pt idx="50">
                  <c:v>0.16666666666666669</c:v>
                </c:pt>
                <c:pt idx="51">
                  <c:v>0.17</c:v>
                </c:pt>
                <c:pt idx="52">
                  <c:v>0.17333333333333334</c:v>
                </c:pt>
                <c:pt idx="53">
                  <c:v>0.17666666666666667</c:v>
                </c:pt>
                <c:pt idx="54">
                  <c:v>0.18000000000000002</c:v>
                </c:pt>
                <c:pt idx="55">
                  <c:v>0.18333333333333335</c:v>
                </c:pt>
                <c:pt idx="56">
                  <c:v>0.18666666666666668</c:v>
                </c:pt>
                <c:pt idx="57">
                  <c:v>0.19</c:v>
                </c:pt>
                <c:pt idx="58">
                  <c:v>0.19333333333333336</c:v>
                </c:pt>
                <c:pt idx="59">
                  <c:v>0.19666666666666668</c:v>
                </c:pt>
                <c:pt idx="60">
                  <c:v>0.2</c:v>
                </c:pt>
                <c:pt idx="61">
                  <c:v>0.20333333333333334</c:v>
                </c:pt>
                <c:pt idx="62">
                  <c:v>0.20666666666666669</c:v>
                </c:pt>
                <c:pt idx="63">
                  <c:v>0.21000000000000002</c:v>
                </c:pt>
                <c:pt idx="64">
                  <c:v>0.21333333333333335</c:v>
                </c:pt>
                <c:pt idx="65">
                  <c:v>0.21666666666666667</c:v>
                </c:pt>
                <c:pt idx="66">
                  <c:v>0.22</c:v>
                </c:pt>
                <c:pt idx="67">
                  <c:v>0.22333333333333336</c:v>
                </c:pt>
                <c:pt idx="68">
                  <c:v>0.22666666666666668</c:v>
                </c:pt>
                <c:pt idx="69">
                  <c:v>0.23</c:v>
                </c:pt>
                <c:pt idx="70">
                  <c:v>0.23333333333333334</c:v>
                </c:pt>
                <c:pt idx="71">
                  <c:v>0.23666666666666669</c:v>
                </c:pt>
                <c:pt idx="72">
                  <c:v>0.24000000000000002</c:v>
                </c:pt>
                <c:pt idx="73">
                  <c:v>0.24333333333333335</c:v>
                </c:pt>
                <c:pt idx="74">
                  <c:v>0.24666666666666667</c:v>
                </c:pt>
                <c:pt idx="75">
                  <c:v>0.25</c:v>
                </c:pt>
                <c:pt idx="76">
                  <c:v>0.25333333333333335</c:v>
                </c:pt>
                <c:pt idx="77">
                  <c:v>0.25666666666666671</c:v>
                </c:pt>
                <c:pt idx="78">
                  <c:v>0.26</c:v>
                </c:pt>
                <c:pt idx="79">
                  <c:v>0.26333333333333336</c:v>
                </c:pt>
                <c:pt idx="80">
                  <c:v>0.26666666666666666</c:v>
                </c:pt>
                <c:pt idx="81">
                  <c:v>0.27</c:v>
                </c:pt>
                <c:pt idx="82">
                  <c:v>0.27333333333333337</c:v>
                </c:pt>
                <c:pt idx="83">
                  <c:v>0.27666666666666667</c:v>
                </c:pt>
                <c:pt idx="84">
                  <c:v>0.28000000000000003</c:v>
                </c:pt>
                <c:pt idx="85">
                  <c:v>0.28333333333333333</c:v>
                </c:pt>
                <c:pt idx="86">
                  <c:v>0.28666666666666668</c:v>
                </c:pt>
                <c:pt idx="87">
                  <c:v>0.29000000000000004</c:v>
                </c:pt>
                <c:pt idx="88">
                  <c:v>0.29333333333333333</c:v>
                </c:pt>
                <c:pt idx="89">
                  <c:v>0.29666666666666669</c:v>
                </c:pt>
                <c:pt idx="90">
                  <c:v>0.30000000000000004</c:v>
                </c:pt>
                <c:pt idx="91">
                  <c:v>0.30333333333333334</c:v>
                </c:pt>
                <c:pt idx="92">
                  <c:v>0.3066666666666667</c:v>
                </c:pt>
                <c:pt idx="93">
                  <c:v>0.31</c:v>
                </c:pt>
                <c:pt idx="94">
                  <c:v>0.31333333333333335</c:v>
                </c:pt>
                <c:pt idx="95">
                  <c:v>0.31666666666666671</c:v>
                </c:pt>
                <c:pt idx="96">
                  <c:v>0.32</c:v>
                </c:pt>
                <c:pt idx="97">
                  <c:v>0.32333333333333336</c:v>
                </c:pt>
                <c:pt idx="98">
                  <c:v>0.32666666666666666</c:v>
                </c:pt>
                <c:pt idx="99">
                  <c:v>0.33</c:v>
                </c:pt>
                <c:pt idx="100">
                  <c:v>0.33333333333333337</c:v>
                </c:pt>
                <c:pt idx="101">
                  <c:v>0.33666666666666667</c:v>
                </c:pt>
                <c:pt idx="102">
                  <c:v>0.34</c:v>
                </c:pt>
                <c:pt idx="103">
                  <c:v>0.34333333333333338</c:v>
                </c:pt>
                <c:pt idx="104">
                  <c:v>0.34666666666666668</c:v>
                </c:pt>
                <c:pt idx="105">
                  <c:v>0.35000000000000003</c:v>
                </c:pt>
                <c:pt idx="106">
                  <c:v>0.35333333333333333</c:v>
                </c:pt>
                <c:pt idx="107">
                  <c:v>0.35666666666666669</c:v>
                </c:pt>
                <c:pt idx="108">
                  <c:v>0.36000000000000004</c:v>
                </c:pt>
                <c:pt idx="109">
                  <c:v>0.36333333333333334</c:v>
                </c:pt>
                <c:pt idx="110">
                  <c:v>0.3666666666666667</c:v>
                </c:pt>
                <c:pt idx="111">
                  <c:v>0.37000000000000005</c:v>
                </c:pt>
                <c:pt idx="112">
                  <c:v>0.37333333333333335</c:v>
                </c:pt>
                <c:pt idx="113">
                  <c:v>0.37666666666666671</c:v>
                </c:pt>
                <c:pt idx="114">
                  <c:v>0.38</c:v>
                </c:pt>
                <c:pt idx="115">
                  <c:v>0.38333333333333336</c:v>
                </c:pt>
                <c:pt idx="116">
                  <c:v>0.38666666666666671</c:v>
                </c:pt>
                <c:pt idx="117">
                  <c:v>0.39</c:v>
                </c:pt>
                <c:pt idx="118">
                  <c:v>0.39333333333333337</c:v>
                </c:pt>
                <c:pt idx="119">
                  <c:v>0.39666666666666667</c:v>
                </c:pt>
                <c:pt idx="120">
                  <c:v>0.4</c:v>
                </c:pt>
                <c:pt idx="121">
                  <c:v>0.40333333333333338</c:v>
                </c:pt>
                <c:pt idx="122">
                  <c:v>0.40666666666666668</c:v>
                </c:pt>
                <c:pt idx="123">
                  <c:v>0.41000000000000003</c:v>
                </c:pt>
                <c:pt idx="124">
                  <c:v>0.41333333333333339</c:v>
                </c:pt>
                <c:pt idx="125">
                  <c:v>0.41666666666666669</c:v>
                </c:pt>
                <c:pt idx="126">
                  <c:v>0.42000000000000004</c:v>
                </c:pt>
                <c:pt idx="127">
                  <c:v>0.42333333333333334</c:v>
                </c:pt>
                <c:pt idx="128">
                  <c:v>0.42666666666666669</c:v>
                </c:pt>
                <c:pt idx="129">
                  <c:v>0.43000000000000005</c:v>
                </c:pt>
                <c:pt idx="130">
                  <c:v>0.43333333333333335</c:v>
                </c:pt>
                <c:pt idx="131">
                  <c:v>0.4366666666666667</c:v>
                </c:pt>
                <c:pt idx="132">
                  <c:v>0.44</c:v>
                </c:pt>
                <c:pt idx="133">
                  <c:v>0.44333333333333336</c:v>
                </c:pt>
                <c:pt idx="134">
                  <c:v>0.44666666666666671</c:v>
                </c:pt>
                <c:pt idx="135">
                  <c:v>0.45</c:v>
                </c:pt>
                <c:pt idx="136">
                  <c:v>0.45333333333333337</c:v>
                </c:pt>
                <c:pt idx="137">
                  <c:v>0.45666666666666672</c:v>
                </c:pt>
                <c:pt idx="138">
                  <c:v>0.46</c:v>
                </c:pt>
                <c:pt idx="139">
                  <c:v>0.46333333333333337</c:v>
                </c:pt>
                <c:pt idx="140">
                  <c:v>0.46666666666666667</c:v>
                </c:pt>
                <c:pt idx="141">
                  <c:v>0.47000000000000003</c:v>
                </c:pt>
                <c:pt idx="142">
                  <c:v>0.47333333333333338</c:v>
                </c:pt>
                <c:pt idx="143">
                  <c:v>0.47666666666666668</c:v>
                </c:pt>
                <c:pt idx="144">
                  <c:v>0.48000000000000004</c:v>
                </c:pt>
                <c:pt idx="145">
                  <c:v>0.48333333333333334</c:v>
                </c:pt>
                <c:pt idx="146">
                  <c:v>0.48666666666666669</c:v>
                </c:pt>
                <c:pt idx="147">
                  <c:v>0.49000000000000005</c:v>
                </c:pt>
                <c:pt idx="148">
                  <c:v>0.49333333333333335</c:v>
                </c:pt>
                <c:pt idx="149">
                  <c:v>0.4966666666666667</c:v>
                </c:pt>
                <c:pt idx="150">
                  <c:v>0.5</c:v>
                </c:pt>
              </c:numCache>
            </c:numRef>
          </c:xVal>
          <c:yVal>
            <c:numRef>
              <c:f>Eff_vs_IOUT!$AI$7:$AI$157</c:f>
              <c:numCache>
                <c:formatCode>General</c:formatCode>
                <c:ptCount val="151"/>
                <c:pt idx="0">
                  <c:v>0</c:v>
                </c:pt>
                <c:pt idx="1">
                  <c:v>2.0065906891543039E-3</c:v>
                </c:pt>
                <c:pt idx="2">
                  <c:v>4.0132644840886293E-3</c:v>
                </c:pt>
                <c:pt idx="3">
                  <c:v>6.0199923800947465E-3</c:v>
                </c:pt>
                <c:pt idx="4">
                  <c:v>8.0267640268196962E-3</c:v>
                </c:pt>
                <c:pt idx="5">
                  <c:v>1.0033573442331035E-2</c:v>
                </c:pt>
                <c:pt idx="6">
                  <c:v>1.2040416590489695E-2</c:v>
                </c:pt>
                <c:pt idx="7">
                  <c:v>1.4047290508263319E-2</c:v>
                </c:pt>
                <c:pt idx="8">
                  <c:v>1.6054192899879569E-2</c:v>
                </c:pt>
                <c:pt idx="9">
                  <c:v>1.8061121918299904E-2</c:v>
                </c:pt>
                <c:pt idx="10">
                  <c:v>2.006807603552933E-2</c:v>
                </c:pt>
                <c:pt idx="11">
                  <c:v>2.2075053960068761E-2</c:v>
                </c:pt>
                <c:pt idx="12">
                  <c:v>2.408205458151377E-2</c:v>
                </c:pt>
                <c:pt idx="13">
                  <c:v>2.608907693179156E-2</c:v>
                </c:pt>
                <c:pt idx="14">
                  <c:v>2.8096120157111791E-2</c:v>
                </c:pt>
                <c:pt idx="15">
                  <c:v>3.0103183497098528E-2</c:v>
                </c:pt>
                <c:pt idx="16">
                  <c:v>3.2110266268898638E-2</c:v>
                </c:pt>
                <c:pt idx="17">
                  <c:v>3.4117367854836905E-2</c:v>
                </c:pt>
                <c:pt idx="18">
                  <c:v>3.6124487692660405E-2</c:v>
                </c:pt>
                <c:pt idx="19">
                  <c:v>3.8131625267712931E-2</c:v>
                </c:pt>
                <c:pt idx="20">
                  <c:v>4.0138780106574609E-2</c:v>
                </c:pt>
                <c:pt idx="21">
                  <c:v>4.2145951771831607E-2</c:v>
                </c:pt>
                <c:pt idx="22">
                  <c:v>4.4153139857730193E-2</c:v>
                </c:pt>
                <c:pt idx="23">
                  <c:v>4.6160343986531675E-2</c:v>
                </c:pt>
                <c:pt idx="24">
                  <c:v>4.8167563805429164E-2</c:v>
                </c:pt>
                <c:pt idx="25">
                  <c:v>5.0174798983919647E-2</c:v>
                </c:pt>
                <c:pt idx="26">
                  <c:v>5.2182049211548162E-2</c:v>
                </c:pt>
                <c:pt idx="27">
                  <c:v>5.4189314195959244E-2</c:v>
                </c:pt>
                <c:pt idx="28">
                  <c:v>5.6196593661203428E-2</c:v>
                </c:pt>
                <c:pt idx="29">
                  <c:v>5.8203887346257858E-2</c:v>
                </c:pt>
                <c:pt idx="30">
                  <c:v>6.0211195003727042E-2</c:v>
                </c:pt>
                <c:pt idx="31">
                  <c:v>6.221851639869682E-2</c:v>
                </c:pt>
                <c:pt idx="32">
                  <c:v>6.4225851307718698E-2</c:v>
                </c:pt>
                <c:pt idx="33">
                  <c:v>6.6233199517906391E-2</c:v>
                </c:pt>
                <c:pt idx="34">
                  <c:v>6.8240560826129018E-2</c:v>
                </c:pt>
                <c:pt idx="35">
                  <c:v>7.0247935038287954E-2</c:v>
                </c:pt>
                <c:pt idx="36">
                  <c:v>7.2255321968666616E-2</c:v>
                </c:pt>
                <c:pt idx="37">
                  <c:v>7.4262721439343968E-2</c:v>
                </c:pt>
                <c:pt idx="38">
                  <c:v>7.6271246761708614E-2</c:v>
                </c:pt>
                <c:pt idx="39">
                  <c:v>7.8278740994863288E-2</c:v>
                </c:pt>
                <c:pt idx="40">
                  <c:v>8.0286261302343967E-2</c:v>
                </c:pt>
                <c:pt idx="41">
                  <c:v>8.2293807684150636E-2</c:v>
                </c:pt>
                <c:pt idx="42">
                  <c:v>8.4301380140283308E-2</c:v>
                </c:pt>
                <c:pt idx="43">
                  <c:v>8.6308978670741998E-2</c:v>
                </c:pt>
                <c:pt idx="44">
                  <c:v>8.8316603275526664E-2</c:v>
                </c:pt>
                <c:pt idx="45">
                  <c:v>9.0324253954637362E-2</c:v>
                </c:pt>
                <c:pt idx="46">
                  <c:v>9.2331930708074036E-2</c:v>
                </c:pt>
                <c:pt idx="47">
                  <c:v>9.4339633535836728E-2</c:v>
                </c:pt>
                <c:pt idx="48">
                  <c:v>9.634736243792541E-2</c:v>
                </c:pt>
                <c:pt idx="49">
                  <c:v>9.8355117414340082E-2</c:v>
                </c:pt>
                <c:pt idx="50">
                  <c:v>0.10036289846508079</c:v>
                </c:pt>
                <c:pt idx="51">
                  <c:v>0.10237070559014745</c:v>
                </c:pt>
                <c:pt idx="52">
                  <c:v>0.10437853878954011</c:v>
                </c:pt>
                <c:pt idx="53">
                  <c:v>0.10638639806325881</c:v>
                </c:pt>
                <c:pt idx="54">
                  <c:v>0.10839428341130347</c:v>
                </c:pt>
                <c:pt idx="55">
                  <c:v>0.11040219483367415</c:v>
                </c:pt>
                <c:pt idx="56">
                  <c:v>0.11241013233037082</c:v>
                </c:pt>
                <c:pt idx="57">
                  <c:v>0.11441809590139349</c:v>
                </c:pt>
                <c:pt idx="58">
                  <c:v>0.11642608554674222</c:v>
                </c:pt>
                <c:pt idx="59">
                  <c:v>0.11843410126641687</c:v>
                </c:pt>
                <c:pt idx="60">
                  <c:v>0.12044214306041755</c:v>
                </c:pt>
                <c:pt idx="61">
                  <c:v>0.12245021092874422</c:v>
                </c:pt>
                <c:pt idx="62">
                  <c:v>0.12445830487139692</c:v>
                </c:pt>
                <c:pt idx="63">
                  <c:v>0.12646642488837559</c:v>
                </c:pt>
                <c:pt idx="64">
                  <c:v>0.12847457097968026</c:v>
                </c:pt>
                <c:pt idx="65">
                  <c:v>0.13048274314531097</c:v>
                </c:pt>
                <c:pt idx="66">
                  <c:v>0.13249094138526762</c:v>
                </c:pt>
                <c:pt idx="67">
                  <c:v>0.13449916569955028</c:v>
                </c:pt>
                <c:pt idx="68">
                  <c:v>0.13650741608815897</c:v>
                </c:pt>
                <c:pt idx="69">
                  <c:v>0.13851569255109364</c:v>
                </c:pt>
                <c:pt idx="70">
                  <c:v>0.14052399508835431</c:v>
                </c:pt>
                <c:pt idx="71">
                  <c:v>0.14253232369994101</c:v>
                </c:pt>
                <c:pt idx="72">
                  <c:v>0.14454067838585372</c:v>
                </c:pt>
                <c:pt idx="73">
                  <c:v>0.1465490591460924</c:v>
                </c:pt>
                <c:pt idx="74">
                  <c:v>0.14855746598065706</c:v>
                </c:pt>
                <c:pt idx="75">
                  <c:v>0.15056589888954772</c:v>
                </c:pt>
                <c:pt idx="76">
                  <c:v>0.15257435787276444</c:v>
                </c:pt>
                <c:pt idx="77">
                  <c:v>0.15458284293030711</c:v>
                </c:pt>
                <c:pt idx="78">
                  <c:v>0.15659135406217578</c:v>
                </c:pt>
                <c:pt idx="79">
                  <c:v>0.15859989126837046</c:v>
                </c:pt>
                <c:pt idx="80">
                  <c:v>0.16060845454889111</c:v>
                </c:pt>
                <c:pt idx="81">
                  <c:v>0.16261704390373782</c:v>
                </c:pt>
                <c:pt idx="82">
                  <c:v>0.16462565933291046</c:v>
                </c:pt>
                <c:pt idx="83">
                  <c:v>0.16663430083640915</c:v>
                </c:pt>
                <c:pt idx="84">
                  <c:v>0.16864296841423382</c:v>
                </c:pt>
                <c:pt idx="85">
                  <c:v>0.17065166206638449</c:v>
                </c:pt>
                <c:pt idx="86">
                  <c:v>0.1726603817928612</c:v>
                </c:pt>
                <c:pt idx="87">
                  <c:v>0.17466912759366385</c:v>
                </c:pt>
                <c:pt idx="88">
                  <c:v>0.1766778994687925</c:v>
                </c:pt>
                <c:pt idx="89">
                  <c:v>0.17868669741824722</c:v>
                </c:pt>
                <c:pt idx="90">
                  <c:v>0.18069552144202791</c:v>
                </c:pt>
                <c:pt idx="91">
                  <c:v>0.18270437154013452</c:v>
                </c:pt>
                <c:pt idx="92">
                  <c:v>0.18471324771256725</c:v>
                </c:pt>
                <c:pt idx="93">
                  <c:v>0.1867221499593259</c:v>
                </c:pt>
                <c:pt idx="94">
                  <c:v>0.18873107828041061</c:v>
                </c:pt>
                <c:pt idx="95">
                  <c:v>0.19074003267582129</c:v>
                </c:pt>
                <c:pt idx="96">
                  <c:v>0.19274901314555795</c:v>
                </c:pt>
                <c:pt idx="97">
                  <c:v>0.19475801968962062</c:v>
                </c:pt>
                <c:pt idx="98">
                  <c:v>0.19676705230800931</c:v>
                </c:pt>
                <c:pt idx="99">
                  <c:v>0.19877611100072395</c:v>
                </c:pt>
                <c:pt idx="100">
                  <c:v>0.20078519576776468</c:v>
                </c:pt>
                <c:pt idx="101">
                  <c:v>0.20279430660913134</c:v>
                </c:pt>
                <c:pt idx="102">
                  <c:v>0.20480344352482405</c:v>
                </c:pt>
                <c:pt idx="103">
                  <c:v>0.20681260651484268</c:v>
                </c:pt>
                <c:pt idx="104">
                  <c:v>0.20882179557918731</c:v>
                </c:pt>
                <c:pt idx="105">
                  <c:v>0.21083101071785804</c:v>
                </c:pt>
                <c:pt idx="106">
                  <c:v>0.21284025193085471</c:v>
                </c:pt>
                <c:pt idx="107">
                  <c:v>0.21484951921817735</c:v>
                </c:pt>
                <c:pt idx="108">
                  <c:v>0.21685881257982603</c:v>
                </c:pt>
                <c:pt idx="109">
                  <c:v>0.21886813201580071</c:v>
                </c:pt>
                <c:pt idx="110">
                  <c:v>0.2208774775261014</c:v>
                </c:pt>
                <c:pt idx="111">
                  <c:v>0.22288684911072812</c:v>
                </c:pt>
                <c:pt idx="112">
                  <c:v>0.22489624676968073</c:v>
                </c:pt>
                <c:pt idx="113">
                  <c:v>0.22690567050295946</c:v>
                </c:pt>
                <c:pt idx="114">
                  <c:v>0.22891512031056405</c:v>
                </c:pt>
                <c:pt idx="115">
                  <c:v>0.23092459619249484</c:v>
                </c:pt>
                <c:pt idx="116">
                  <c:v>0.23293409814875152</c:v>
                </c:pt>
                <c:pt idx="117">
                  <c:v>0.23494362617933415</c:v>
                </c:pt>
                <c:pt idx="118">
                  <c:v>0.23695318028424281</c:v>
                </c:pt>
                <c:pt idx="119">
                  <c:v>0.2389627604634775</c:v>
                </c:pt>
                <c:pt idx="120">
                  <c:v>0.24097236671703814</c:v>
                </c:pt>
                <c:pt idx="121">
                  <c:v>0.24298199904492485</c:v>
                </c:pt>
                <c:pt idx="122">
                  <c:v>0.2449916574471375</c:v>
                </c:pt>
                <c:pt idx="123">
                  <c:v>0.24700134192367615</c:v>
                </c:pt>
                <c:pt idx="124">
                  <c:v>0.24901105247454086</c:v>
                </c:pt>
                <c:pt idx="125">
                  <c:v>0.25102078909973152</c:v>
                </c:pt>
                <c:pt idx="126">
                  <c:v>0.25303055179924822</c:v>
                </c:pt>
                <c:pt idx="127">
                  <c:v>0.25504034057309083</c:v>
                </c:pt>
                <c:pt idx="128">
                  <c:v>0.25705015542125959</c:v>
                </c:pt>
                <c:pt idx="129">
                  <c:v>0.25905999634375426</c:v>
                </c:pt>
                <c:pt idx="130">
                  <c:v>0.26106986334057491</c:v>
                </c:pt>
                <c:pt idx="131">
                  <c:v>0.2630797564117216</c:v>
                </c:pt>
                <c:pt idx="132">
                  <c:v>0.26508967555719426</c:v>
                </c:pt>
                <c:pt idx="133">
                  <c:v>0.26709962077699295</c:v>
                </c:pt>
                <c:pt idx="134">
                  <c:v>0.26910959207111756</c:v>
                </c:pt>
                <c:pt idx="135">
                  <c:v>0.27111958943956826</c:v>
                </c:pt>
                <c:pt idx="136">
                  <c:v>0.27312961288234494</c:v>
                </c:pt>
                <c:pt idx="137">
                  <c:v>0.27513966239944765</c:v>
                </c:pt>
                <c:pt idx="138">
                  <c:v>0.27714973799087622</c:v>
                </c:pt>
                <c:pt idx="139">
                  <c:v>0.27915983965663099</c:v>
                </c:pt>
                <c:pt idx="140">
                  <c:v>0.28116996739671157</c:v>
                </c:pt>
                <c:pt idx="141">
                  <c:v>0.2831801212111183</c:v>
                </c:pt>
                <c:pt idx="142">
                  <c:v>0.28519030109985094</c:v>
                </c:pt>
                <c:pt idx="143">
                  <c:v>0.28720050706290967</c:v>
                </c:pt>
                <c:pt idx="144">
                  <c:v>0.28921073910029438</c:v>
                </c:pt>
                <c:pt idx="145">
                  <c:v>0.29122099721200501</c:v>
                </c:pt>
                <c:pt idx="146">
                  <c:v>0.29323128139804172</c:v>
                </c:pt>
                <c:pt idx="147">
                  <c:v>0.29524159165840436</c:v>
                </c:pt>
                <c:pt idx="148">
                  <c:v>0.29725192799309302</c:v>
                </c:pt>
                <c:pt idx="149">
                  <c:v>0.29926229040210772</c:v>
                </c:pt>
                <c:pt idx="150">
                  <c:v>0.30127267888544834</c:v>
                </c:pt>
              </c:numCache>
            </c:numRef>
          </c:yVal>
          <c:smooth val="1"/>
          <c:extLst>
            <c:ext xmlns:c16="http://schemas.microsoft.com/office/drawing/2014/chart" uri="{C3380CC4-5D6E-409C-BE32-E72D297353CC}">
              <c16:uniqueId val="{00000001-8AEF-4CD2-9E91-5056CF00EB36}"/>
            </c:ext>
          </c:extLst>
        </c:ser>
        <c:ser>
          <c:idx val="2"/>
          <c:order val="2"/>
          <c:tx>
            <c:v>Diode</c:v>
          </c:tx>
          <c:marker>
            <c:symbol val="none"/>
          </c:marker>
          <c:xVal>
            <c:numRef>
              <c:f>Eff_vs_IOUT!$S$7:$S$157</c:f>
              <c:numCache>
                <c:formatCode>General</c:formatCode>
                <c:ptCount val="151"/>
                <c:pt idx="0">
                  <c:v>0</c:v>
                </c:pt>
                <c:pt idx="1">
                  <c:v>3.3333333333333335E-3</c:v>
                </c:pt>
                <c:pt idx="2">
                  <c:v>6.6666666666666671E-3</c:v>
                </c:pt>
                <c:pt idx="3">
                  <c:v>0.01</c:v>
                </c:pt>
                <c:pt idx="4">
                  <c:v>1.3333333333333334E-2</c:v>
                </c:pt>
                <c:pt idx="5">
                  <c:v>1.6666666666666666E-2</c:v>
                </c:pt>
                <c:pt idx="6">
                  <c:v>0.02</c:v>
                </c:pt>
                <c:pt idx="7">
                  <c:v>2.3333333333333334E-2</c:v>
                </c:pt>
                <c:pt idx="8">
                  <c:v>2.6666666666666668E-2</c:v>
                </c:pt>
                <c:pt idx="9">
                  <c:v>3.0000000000000002E-2</c:v>
                </c:pt>
                <c:pt idx="10">
                  <c:v>3.3333333333333333E-2</c:v>
                </c:pt>
                <c:pt idx="11">
                  <c:v>3.6666666666666667E-2</c:v>
                </c:pt>
                <c:pt idx="12">
                  <c:v>0.04</c:v>
                </c:pt>
                <c:pt idx="13">
                  <c:v>4.3333333333333335E-2</c:v>
                </c:pt>
                <c:pt idx="14">
                  <c:v>4.6666666666666669E-2</c:v>
                </c:pt>
                <c:pt idx="15">
                  <c:v>0.05</c:v>
                </c:pt>
                <c:pt idx="16">
                  <c:v>5.3333333333333337E-2</c:v>
                </c:pt>
                <c:pt idx="17">
                  <c:v>5.6666666666666671E-2</c:v>
                </c:pt>
                <c:pt idx="18">
                  <c:v>6.0000000000000005E-2</c:v>
                </c:pt>
                <c:pt idx="19">
                  <c:v>6.3333333333333339E-2</c:v>
                </c:pt>
                <c:pt idx="20">
                  <c:v>6.6666666666666666E-2</c:v>
                </c:pt>
                <c:pt idx="21">
                  <c:v>7.0000000000000007E-2</c:v>
                </c:pt>
                <c:pt idx="22">
                  <c:v>7.3333333333333334E-2</c:v>
                </c:pt>
                <c:pt idx="23">
                  <c:v>7.6666666666666675E-2</c:v>
                </c:pt>
                <c:pt idx="24">
                  <c:v>0.08</c:v>
                </c:pt>
                <c:pt idx="25">
                  <c:v>8.3333333333333343E-2</c:v>
                </c:pt>
                <c:pt idx="26">
                  <c:v>8.666666666666667E-2</c:v>
                </c:pt>
                <c:pt idx="27">
                  <c:v>9.0000000000000011E-2</c:v>
                </c:pt>
                <c:pt idx="28">
                  <c:v>9.3333333333333338E-2</c:v>
                </c:pt>
                <c:pt idx="29">
                  <c:v>9.6666666666666679E-2</c:v>
                </c:pt>
                <c:pt idx="30">
                  <c:v>0.1</c:v>
                </c:pt>
                <c:pt idx="31">
                  <c:v>0.10333333333333335</c:v>
                </c:pt>
                <c:pt idx="32">
                  <c:v>0.10666666666666667</c:v>
                </c:pt>
                <c:pt idx="33">
                  <c:v>0.11</c:v>
                </c:pt>
                <c:pt idx="34">
                  <c:v>0.11333333333333334</c:v>
                </c:pt>
                <c:pt idx="35">
                  <c:v>0.11666666666666667</c:v>
                </c:pt>
                <c:pt idx="36">
                  <c:v>0.12000000000000001</c:v>
                </c:pt>
                <c:pt idx="37">
                  <c:v>0.12333333333333334</c:v>
                </c:pt>
                <c:pt idx="38">
                  <c:v>0.12666666666666668</c:v>
                </c:pt>
                <c:pt idx="39">
                  <c:v>0.13</c:v>
                </c:pt>
                <c:pt idx="40">
                  <c:v>0.13333333333333333</c:v>
                </c:pt>
                <c:pt idx="41">
                  <c:v>0.13666666666666669</c:v>
                </c:pt>
                <c:pt idx="42">
                  <c:v>0.14000000000000001</c:v>
                </c:pt>
                <c:pt idx="43">
                  <c:v>0.14333333333333334</c:v>
                </c:pt>
                <c:pt idx="44">
                  <c:v>0.14666666666666667</c:v>
                </c:pt>
                <c:pt idx="45">
                  <c:v>0.15000000000000002</c:v>
                </c:pt>
                <c:pt idx="46">
                  <c:v>0.15333333333333335</c:v>
                </c:pt>
                <c:pt idx="47">
                  <c:v>0.15666666666666668</c:v>
                </c:pt>
                <c:pt idx="48">
                  <c:v>0.16</c:v>
                </c:pt>
                <c:pt idx="49">
                  <c:v>0.16333333333333333</c:v>
                </c:pt>
                <c:pt idx="50">
                  <c:v>0.16666666666666669</c:v>
                </c:pt>
                <c:pt idx="51">
                  <c:v>0.17</c:v>
                </c:pt>
                <c:pt idx="52">
                  <c:v>0.17333333333333334</c:v>
                </c:pt>
                <c:pt idx="53">
                  <c:v>0.17666666666666667</c:v>
                </c:pt>
                <c:pt idx="54">
                  <c:v>0.18000000000000002</c:v>
                </c:pt>
                <c:pt idx="55">
                  <c:v>0.18333333333333335</c:v>
                </c:pt>
                <c:pt idx="56">
                  <c:v>0.18666666666666668</c:v>
                </c:pt>
                <c:pt idx="57">
                  <c:v>0.19</c:v>
                </c:pt>
                <c:pt idx="58">
                  <c:v>0.19333333333333336</c:v>
                </c:pt>
                <c:pt idx="59">
                  <c:v>0.19666666666666668</c:v>
                </c:pt>
                <c:pt idx="60">
                  <c:v>0.2</c:v>
                </c:pt>
                <c:pt idx="61">
                  <c:v>0.20333333333333334</c:v>
                </c:pt>
                <c:pt idx="62">
                  <c:v>0.20666666666666669</c:v>
                </c:pt>
                <c:pt idx="63">
                  <c:v>0.21000000000000002</c:v>
                </c:pt>
                <c:pt idx="64">
                  <c:v>0.21333333333333335</c:v>
                </c:pt>
                <c:pt idx="65">
                  <c:v>0.21666666666666667</c:v>
                </c:pt>
                <c:pt idx="66">
                  <c:v>0.22</c:v>
                </c:pt>
                <c:pt idx="67">
                  <c:v>0.22333333333333336</c:v>
                </c:pt>
                <c:pt idx="68">
                  <c:v>0.22666666666666668</c:v>
                </c:pt>
                <c:pt idx="69">
                  <c:v>0.23</c:v>
                </c:pt>
                <c:pt idx="70">
                  <c:v>0.23333333333333334</c:v>
                </c:pt>
                <c:pt idx="71">
                  <c:v>0.23666666666666669</c:v>
                </c:pt>
                <c:pt idx="72">
                  <c:v>0.24000000000000002</c:v>
                </c:pt>
                <c:pt idx="73">
                  <c:v>0.24333333333333335</c:v>
                </c:pt>
                <c:pt idx="74">
                  <c:v>0.24666666666666667</c:v>
                </c:pt>
                <c:pt idx="75">
                  <c:v>0.25</c:v>
                </c:pt>
                <c:pt idx="76">
                  <c:v>0.25333333333333335</c:v>
                </c:pt>
                <c:pt idx="77">
                  <c:v>0.25666666666666671</c:v>
                </c:pt>
                <c:pt idx="78">
                  <c:v>0.26</c:v>
                </c:pt>
                <c:pt idx="79">
                  <c:v>0.26333333333333336</c:v>
                </c:pt>
                <c:pt idx="80">
                  <c:v>0.26666666666666666</c:v>
                </c:pt>
                <c:pt idx="81">
                  <c:v>0.27</c:v>
                </c:pt>
                <c:pt idx="82">
                  <c:v>0.27333333333333337</c:v>
                </c:pt>
                <c:pt idx="83">
                  <c:v>0.27666666666666667</c:v>
                </c:pt>
                <c:pt idx="84">
                  <c:v>0.28000000000000003</c:v>
                </c:pt>
                <c:pt idx="85">
                  <c:v>0.28333333333333333</c:v>
                </c:pt>
                <c:pt idx="86">
                  <c:v>0.28666666666666668</c:v>
                </c:pt>
                <c:pt idx="87">
                  <c:v>0.29000000000000004</c:v>
                </c:pt>
                <c:pt idx="88">
                  <c:v>0.29333333333333333</c:v>
                </c:pt>
                <c:pt idx="89">
                  <c:v>0.29666666666666669</c:v>
                </c:pt>
                <c:pt idx="90">
                  <c:v>0.30000000000000004</c:v>
                </c:pt>
                <c:pt idx="91">
                  <c:v>0.30333333333333334</c:v>
                </c:pt>
                <c:pt idx="92">
                  <c:v>0.3066666666666667</c:v>
                </c:pt>
                <c:pt idx="93">
                  <c:v>0.31</c:v>
                </c:pt>
                <c:pt idx="94">
                  <c:v>0.31333333333333335</c:v>
                </c:pt>
                <c:pt idx="95">
                  <c:v>0.31666666666666671</c:v>
                </c:pt>
                <c:pt idx="96">
                  <c:v>0.32</c:v>
                </c:pt>
                <c:pt idx="97">
                  <c:v>0.32333333333333336</c:v>
                </c:pt>
                <c:pt idx="98">
                  <c:v>0.32666666666666666</c:v>
                </c:pt>
                <c:pt idx="99">
                  <c:v>0.33</c:v>
                </c:pt>
                <c:pt idx="100">
                  <c:v>0.33333333333333337</c:v>
                </c:pt>
                <c:pt idx="101">
                  <c:v>0.33666666666666667</c:v>
                </c:pt>
                <c:pt idx="102">
                  <c:v>0.34</c:v>
                </c:pt>
                <c:pt idx="103">
                  <c:v>0.34333333333333338</c:v>
                </c:pt>
                <c:pt idx="104">
                  <c:v>0.34666666666666668</c:v>
                </c:pt>
                <c:pt idx="105">
                  <c:v>0.35000000000000003</c:v>
                </c:pt>
                <c:pt idx="106">
                  <c:v>0.35333333333333333</c:v>
                </c:pt>
                <c:pt idx="107">
                  <c:v>0.35666666666666669</c:v>
                </c:pt>
                <c:pt idx="108">
                  <c:v>0.36000000000000004</c:v>
                </c:pt>
                <c:pt idx="109">
                  <c:v>0.36333333333333334</c:v>
                </c:pt>
                <c:pt idx="110">
                  <c:v>0.3666666666666667</c:v>
                </c:pt>
                <c:pt idx="111">
                  <c:v>0.37000000000000005</c:v>
                </c:pt>
                <c:pt idx="112">
                  <c:v>0.37333333333333335</c:v>
                </c:pt>
                <c:pt idx="113">
                  <c:v>0.37666666666666671</c:v>
                </c:pt>
                <c:pt idx="114">
                  <c:v>0.38</c:v>
                </c:pt>
                <c:pt idx="115">
                  <c:v>0.38333333333333336</c:v>
                </c:pt>
                <c:pt idx="116">
                  <c:v>0.38666666666666671</c:v>
                </c:pt>
                <c:pt idx="117">
                  <c:v>0.39</c:v>
                </c:pt>
                <c:pt idx="118">
                  <c:v>0.39333333333333337</c:v>
                </c:pt>
                <c:pt idx="119">
                  <c:v>0.39666666666666667</c:v>
                </c:pt>
                <c:pt idx="120">
                  <c:v>0.4</c:v>
                </c:pt>
                <c:pt idx="121">
                  <c:v>0.40333333333333338</c:v>
                </c:pt>
                <c:pt idx="122">
                  <c:v>0.40666666666666668</c:v>
                </c:pt>
                <c:pt idx="123">
                  <c:v>0.41000000000000003</c:v>
                </c:pt>
                <c:pt idx="124">
                  <c:v>0.41333333333333339</c:v>
                </c:pt>
                <c:pt idx="125">
                  <c:v>0.41666666666666669</c:v>
                </c:pt>
                <c:pt idx="126">
                  <c:v>0.42000000000000004</c:v>
                </c:pt>
                <c:pt idx="127">
                  <c:v>0.42333333333333334</c:v>
                </c:pt>
                <c:pt idx="128">
                  <c:v>0.42666666666666669</c:v>
                </c:pt>
                <c:pt idx="129">
                  <c:v>0.43000000000000005</c:v>
                </c:pt>
                <c:pt idx="130">
                  <c:v>0.43333333333333335</c:v>
                </c:pt>
                <c:pt idx="131">
                  <c:v>0.4366666666666667</c:v>
                </c:pt>
                <c:pt idx="132">
                  <c:v>0.44</c:v>
                </c:pt>
                <c:pt idx="133">
                  <c:v>0.44333333333333336</c:v>
                </c:pt>
                <c:pt idx="134">
                  <c:v>0.44666666666666671</c:v>
                </c:pt>
                <c:pt idx="135">
                  <c:v>0.45</c:v>
                </c:pt>
                <c:pt idx="136">
                  <c:v>0.45333333333333337</c:v>
                </c:pt>
                <c:pt idx="137">
                  <c:v>0.45666666666666672</c:v>
                </c:pt>
                <c:pt idx="138">
                  <c:v>0.46</c:v>
                </c:pt>
                <c:pt idx="139">
                  <c:v>0.46333333333333337</c:v>
                </c:pt>
                <c:pt idx="140">
                  <c:v>0.46666666666666667</c:v>
                </c:pt>
                <c:pt idx="141">
                  <c:v>0.47000000000000003</c:v>
                </c:pt>
                <c:pt idx="142">
                  <c:v>0.47333333333333338</c:v>
                </c:pt>
                <c:pt idx="143">
                  <c:v>0.47666666666666668</c:v>
                </c:pt>
                <c:pt idx="144">
                  <c:v>0.48000000000000004</c:v>
                </c:pt>
                <c:pt idx="145">
                  <c:v>0.48333333333333334</c:v>
                </c:pt>
                <c:pt idx="146">
                  <c:v>0.48666666666666669</c:v>
                </c:pt>
                <c:pt idx="147">
                  <c:v>0.49000000000000005</c:v>
                </c:pt>
                <c:pt idx="148">
                  <c:v>0.49333333333333335</c:v>
                </c:pt>
                <c:pt idx="149">
                  <c:v>0.4966666666666667</c:v>
                </c:pt>
                <c:pt idx="150">
                  <c:v>0.5</c:v>
                </c:pt>
              </c:numCache>
            </c:numRef>
          </c:xVal>
          <c:yVal>
            <c:numRef>
              <c:f>Eff_vs_IOUT!$AN$7:$AN$157</c:f>
              <c:numCache>
                <c:formatCode>General</c:formatCode>
                <c:ptCount val="151"/>
                <c:pt idx="0">
                  <c:v>0.2423025</c:v>
                </c:pt>
                <c:pt idx="1">
                  <c:v>0.24380250000000001</c:v>
                </c:pt>
                <c:pt idx="2">
                  <c:v>0.24530250000000001</c:v>
                </c:pt>
                <c:pt idx="3">
                  <c:v>0.24680250000000001</c:v>
                </c:pt>
                <c:pt idx="4">
                  <c:v>0.24830250000000001</c:v>
                </c:pt>
                <c:pt idx="5">
                  <c:v>0.24980250000000001</c:v>
                </c:pt>
                <c:pt idx="6">
                  <c:v>0.25130249999999998</c:v>
                </c:pt>
                <c:pt idx="7">
                  <c:v>0.25280249999999999</c:v>
                </c:pt>
                <c:pt idx="8">
                  <c:v>0.25430249999999999</c:v>
                </c:pt>
                <c:pt idx="9">
                  <c:v>0.25580249999999999</c:v>
                </c:pt>
                <c:pt idx="10">
                  <c:v>0.25730249999999999</c:v>
                </c:pt>
                <c:pt idx="11">
                  <c:v>0.25880249999999999</c:v>
                </c:pt>
                <c:pt idx="12">
                  <c:v>0.26030249999999999</c:v>
                </c:pt>
                <c:pt idx="13">
                  <c:v>0.26180249999999999</c:v>
                </c:pt>
                <c:pt idx="14">
                  <c:v>0.26330249999999999</c:v>
                </c:pt>
                <c:pt idx="15">
                  <c:v>0.2648025</c:v>
                </c:pt>
                <c:pt idx="16">
                  <c:v>0.2663025</c:v>
                </c:pt>
                <c:pt idx="17">
                  <c:v>0.2678025</c:v>
                </c:pt>
                <c:pt idx="18">
                  <c:v>0.2693025</c:v>
                </c:pt>
                <c:pt idx="19">
                  <c:v>0.2708025</c:v>
                </c:pt>
                <c:pt idx="20">
                  <c:v>0.2723025</c:v>
                </c:pt>
                <c:pt idx="21">
                  <c:v>0.2738025</c:v>
                </c:pt>
                <c:pt idx="22">
                  <c:v>0.27530250000000001</c:v>
                </c:pt>
                <c:pt idx="23">
                  <c:v>0.27680250000000001</c:v>
                </c:pt>
                <c:pt idx="24">
                  <c:v>0.27830250000000001</c:v>
                </c:pt>
                <c:pt idx="25">
                  <c:v>0.27980250000000001</c:v>
                </c:pt>
                <c:pt idx="26">
                  <c:v>0.28130250000000001</c:v>
                </c:pt>
                <c:pt idx="27">
                  <c:v>0.28280250000000001</c:v>
                </c:pt>
                <c:pt idx="28">
                  <c:v>0.28430250000000001</c:v>
                </c:pt>
                <c:pt idx="29">
                  <c:v>0.28580250000000001</c:v>
                </c:pt>
                <c:pt idx="30">
                  <c:v>0.28730250000000002</c:v>
                </c:pt>
                <c:pt idx="31">
                  <c:v>0.28880250000000002</c:v>
                </c:pt>
                <c:pt idx="32">
                  <c:v>0.29030250000000002</c:v>
                </c:pt>
                <c:pt idx="33">
                  <c:v>0.29180250000000002</c:v>
                </c:pt>
                <c:pt idx="34">
                  <c:v>0.29330250000000002</c:v>
                </c:pt>
                <c:pt idx="35">
                  <c:v>0.29480250000000002</c:v>
                </c:pt>
                <c:pt idx="36">
                  <c:v>0.29630250000000002</c:v>
                </c:pt>
                <c:pt idx="37">
                  <c:v>0.29780250000000003</c:v>
                </c:pt>
                <c:pt idx="38">
                  <c:v>0.29930250000000003</c:v>
                </c:pt>
                <c:pt idx="39">
                  <c:v>0.30080250000000003</c:v>
                </c:pt>
                <c:pt idx="40">
                  <c:v>0.30230250000000003</c:v>
                </c:pt>
                <c:pt idx="41">
                  <c:v>0.30380250000000003</c:v>
                </c:pt>
                <c:pt idx="42">
                  <c:v>0.30530250000000003</c:v>
                </c:pt>
                <c:pt idx="43">
                  <c:v>0.30680249999999998</c:v>
                </c:pt>
                <c:pt idx="44">
                  <c:v>0.30830250000000003</c:v>
                </c:pt>
                <c:pt idx="45">
                  <c:v>0.30980250000000004</c:v>
                </c:pt>
                <c:pt idx="46">
                  <c:v>0.31130250000000004</c:v>
                </c:pt>
                <c:pt idx="47">
                  <c:v>0.31280249999999998</c:v>
                </c:pt>
                <c:pt idx="48">
                  <c:v>0.31430250000000004</c:v>
                </c:pt>
                <c:pt idx="49">
                  <c:v>0.31580249999999999</c:v>
                </c:pt>
                <c:pt idx="50">
                  <c:v>0.31730250000000004</c:v>
                </c:pt>
                <c:pt idx="51">
                  <c:v>0.31880249999999999</c:v>
                </c:pt>
                <c:pt idx="52">
                  <c:v>0.32030249999999999</c:v>
                </c:pt>
                <c:pt idx="53">
                  <c:v>0.32180249999999999</c:v>
                </c:pt>
                <c:pt idx="54">
                  <c:v>0.32330250000000005</c:v>
                </c:pt>
                <c:pt idx="55">
                  <c:v>0.32480249999999999</c:v>
                </c:pt>
                <c:pt idx="56">
                  <c:v>0.3263025</c:v>
                </c:pt>
                <c:pt idx="57">
                  <c:v>0.3278025</c:v>
                </c:pt>
                <c:pt idx="58">
                  <c:v>0.3293025</c:v>
                </c:pt>
                <c:pt idx="59">
                  <c:v>0.3308025</c:v>
                </c:pt>
                <c:pt idx="60">
                  <c:v>0.3323025</c:v>
                </c:pt>
                <c:pt idx="61">
                  <c:v>0.3338025</c:v>
                </c:pt>
                <c:pt idx="62">
                  <c:v>0.3353025</c:v>
                </c:pt>
                <c:pt idx="63">
                  <c:v>0.3368025</c:v>
                </c:pt>
                <c:pt idx="64">
                  <c:v>0.33830250000000001</c:v>
                </c:pt>
                <c:pt idx="65">
                  <c:v>0.33980250000000001</c:v>
                </c:pt>
                <c:pt idx="66">
                  <c:v>0.34130250000000001</c:v>
                </c:pt>
                <c:pt idx="67">
                  <c:v>0.34280250000000001</c:v>
                </c:pt>
                <c:pt idx="68">
                  <c:v>0.34430250000000001</c:v>
                </c:pt>
                <c:pt idx="69">
                  <c:v>0.34580250000000001</c:v>
                </c:pt>
                <c:pt idx="70">
                  <c:v>0.34730250000000001</c:v>
                </c:pt>
                <c:pt idx="71">
                  <c:v>0.34880250000000002</c:v>
                </c:pt>
                <c:pt idx="72">
                  <c:v>0.35030250000000002</c:v>
                </c:pt>
                <c:pt idx="73">
                  <c:v>0.35180250000000002</c:v>
                </c:pt>
                <c:pt idx="74">
                  <c:v>0.35330250000000002</c:v>
                </c:pt>
                <c:pt idx="75">
                  <c:v>0.35480250000000002</c:v>
                </c:pt>
                <c:pt idx="76">
                  <c:v>0.35630250000000002</c:v>
                </c:pt>
                <c:pt idx="77">
                  <c:v>0.35780250000000002</c:v>
                </c:pt>
                <c:pt idx="78">
                  <c:v>0.35930250000000002</c:v>
                </c:pt>
                <c:pt idx="79">
                  <c:v>0.36080250000000003</c:v>
                </c:pt>
                <c:pt idx="80">
                  <c:v>0.36230249999999997</c:v>
                </c:pt>
                <c:pt idx="81">
                  <c:v>0.36380250000000003</c:v>
                </c:pt>
                <c:pt idx="82">
                  <c:v>0.36530250000000003</c:v>
                </c:pt>
                <c:pt idx="83">
                  <c:v>0.36680250000000003</c:v>
                </c:pt>
                <c:pt idx="84">
                  <c:v>0.36830250000000003</c:v>
                </c:pt>
                <c:pt idx="85">
                  <c:v>0.36980250000000003</c:v>
                </c:pt>
                <c:pt idx="86">
                  <c:v>0.37130249999999998</c:v>
                </c:pt>
                <c:pt idx="87">
                  <c:v>0.37280250000000004</c:v>
                </c:pt>
                <c:pt idx="88">
                  <c:v>0.37430249999999998</c:v>
                </c:pt>
                <c:pt idx="89">
                  <c:v>0.37580250000000004</c:v>
                </c:pt>
                <c:pt idx="90">
                  <c:v>0.37730250000000004</c:v>
                </c:pt>
                <c:pt idx="91">
                  <c:v>0.37880250000000004</c:v>
                </c:pt>
                <c:pt idx="92">
                  <c:v>0.38030249999999999</c:v>
                </c:pt>
                <c:pt idx="93">
                  <c:v>0.38180250000000004</c:v>
                </c:pt>
                <c:pt idx="94">
                  <c:v>0.38330249999999999</c:v>
                </c:pt>
                <c:pt idx="95">
                  <c:v>0.38480250000000005</c:v>
                </c:pt>
                <c:pt idx="96">
                  <c:v>0.38630249999999999</c:v>
                </c:pt>
                <c:pt idx="97">
                  <c:v>0.38780250000000005</c:v>
                </c:pt>
                <c:pt idx="98">
                  <c:v>0.3893025</c:v>
                </c:pt>
                <c:pt idx="99">
                  <c:v>0.39080250000000005</c:v>
                </c:pt>
                <c:pt idx="100">
                  <c:v>0.3923025</c:v>
                </c:pt>
                <c:pt idx="101">
                  <c:v>0.3938025</c:v>
                </c:pt>
                <c:pt idx="102">
                  <c:v>0.3953025</c:v>
                </c:pt>
                <c:pt idx="103">
                  <c:v>0.39680250000000006</c:v>
                </c:pt>
                <c:pt idx="104">
                  <c:v>0.3983025</c:v>
                </c:pt>
                <c:pt idx="105">
                  <c:v>0.39980250000000006</c:v>
                </c:pt>
                <c:pt idx="106">
                  <c:v>0.40130250000000001</c:v>
                </c:pt>
                <c:pt idx="107">
                  <c:v>0.40280250000000001</c:v>
                </c:pt>
                <c:pt idx="108">
                  <c:v>0.40430250000000001</c:v>
                </c:pt>
                <c:pt idx="109">
                  <c:v>0.40580250000000001</c:v>
                </c:pt>
                <c:pt idx="110">
                  <c:v>0.40730250000000001</c:v>
                </c:pt>
                <c:pt idx="111">
                  <c:v>0.40880250000000007</c:v>
                </c:pt>
                <c:pt idx="112">
                  <c:v>0.41030250000000001</c:v>
                </c:pt>
                <c:pt idx="113">
                  <c:v>0.41180250000000002</c:v>
                </c:pt>
                <c:pt idx="114">
                  <c:v>0.41330250000000002</c:v>
                </c:pt>
                <c:pt idx="115">
                  <c:v>0.41480250000000002</c:v>
                </c:pt>
                <c:pt idx="116">
                  <c:v>0.41630250000000002</c:v>
                </c:pt>
                <c:pt idx="117">
                  <c:v>0.41780250000000002</c:v>
                </c:pt>
                <c:pt idx="118">
                  <c:v>0.41930250000000002</c:v>
                </c:pt>
                <c:pt idx="119">
                  <c:v>0.42080249999999997</c:v>
                </c:pt>
                <c:pt idx="120">
                  <c:v>0.42230250000000003</c:v>
                </c:pt>
                <c:pt idx="121">
                  <c:v>0.42380250000000003</c:v>
                </c:pt>
                <c:pt idx="122">
                  <c:v>0.42530250000000003</c:v>
                </c:pt>
                <c:pt idx="123">
                  <c:v>0.42680250000000003</c:v>
                </c:pt>
                <c:pt idx="124">
                  <c:v>0.42830250000000003</c:v>
                </c:pt>
                <c:pt idx="125">
                  <c:v>0.42980249999999998</c:v>
                </c:pt>
                <c:pt idx="126">
                  <c:v>0.43130250000000003</c:v>
                </c:pt>
                <c:pt idx="127">
                  <c:v>0.43280249999999998</c:v>
                </c:pt>
                <c:pt idx="128">
                  <c:v>0.43430250000000004</c:v>
                </c:pt>
                <c:pt idx="129">
                  <c:v>0.43580250000000004</c:v>
                </c:pt>
                <c:pt idx="130">
                  <c:v>0.43730250000000004</c:v>
                </c:pt>
                <c:pt idx="131">
                  <c:v>0.43880249999999998</c:v>
                </c:pt>
                <c:pt idx="132">
                  <c:v>0.44030250000000004</c:v>
                </c:pt>
                <c:pt idx="133">
                  <c:v>0.44180249999999999</c:v>
                </c:pt>
                <c:pt idx="134">
                  <c:v>0.44330250000000004</c:v>
                </c:pt>
                <c:pt idx="135">
                  <c:v>0.44480249999999999</c:v>
                </c:pt>
                <c:pt idx="136">
                  <c:v>0.44630250000000005</c:v>
                </c:pt>
                <c:pt idx="137">
                  <c:v>0.44780249999999999</c:v>
                </c:pt>
                <c:pt idx="138">
                  <c:v>0.44930250000000005</c:v>
                </c:pt>
                <c:pt idx="139">
                  <c:v>0.45080249999999999</c:v>
                </c:pt>
                <c:pt idx="140">
                  <c:v>0.45230250000000005</c:v>
                </c:pt>
                <c:pt idx="141">
                  <c:v>0.4538025</c:v>
                </c:pt>
                <c:pt idx="142">
                  <c:v>0.45530250000000005</c:v>
                </c:pt>
                <c:pt idx="143">
                  <c:v>0.4568025</c:v>
                </c:pt>
                <c:pt idx="144">
                  <c:v>0.45830250000000006</c:v>
                </c:pt>
                <c:pt idx="145">
                  <c:v>0.4598025</c:v>
                </c:pt>
                <c:pt idx="146">
                  <c:v>0.46130250000000006</c:v>
                </c:pt>
                <c:pt idx="147">
                  <c:v>0.46280250000000001</c:v>
                </c:pt>
                <c:pt idx="148">
                  <c:v>0.46430250000000001</c:v>
                </c:pt>
                <c:pt idx="149">
                  <c:v>0.46580250000000001</c:v>
                </c:pt>
                <c:pt idx="150">
                  <c:v>0.46730250000000001</c:v>
                </c:pt>
              </c:numCache>
            </c:numRef>
          </c:yVal>
          <c:smooth val="1"/>
          <c:extLst>
            <c:ext xmlns:c16="http://schemas.microsoft.com/office/drawing/2014/chart" uri="{C3380CC4-5D6E-409C-BE32-E72D297353CC}">
              <c16:uniqueId val="{00000002-8AEF-4CD2-9E91-5056CF00EB36}"/>
            </c:ext>
          </c:extLst>
        </c:ser>
        <c:ser>
          <c:idx val="3"/>
          <c:order val="3"/>
          <c:tx>
            <c:v>RCS</c:v>
          </c:tx>
          <c:marker>
            <c:symbol val="none"/>
          </c:marker>
          <c:xVal>
            <c:numRef>
              <c:f>Eff_vs_IOUT!$S$7:$S$157</c:f>
              <c:numCache>
                <c:formatCode>General</c:formatCode>
                <c:ptCount val="151"/>
                <c:pt idx="0">
                  <c:v>0</c:v>
                </c:pt>
                <c:pt idx="1">
                  <c:v>3.3333333333333335E-3</c:v>
                </c:pt>
                <c:pt idx="2">
                  <c:v>6.6666666666666671E-3</c:v>
                </c:pt>
                <c:pt idx="3">
                  <c:v>0.01</c:v>
                </c:pt>
                <c:pt idx="4">
                  <c:v>1.3333333333333334E-2</c:v>
                </c:pt>
                <c:pt idx="5">
                  <c:v>1.6666666666666666E-2</c:v>
                </c:pt>
                <c:pt idx="6">
                  <c:v>0.02</c:v>
                </c:pt>
                <c:pt idx="7">
                  <c:v>2.3333333333333334E-2</c:v>
                </c:pt>
                <c:pt idx="8">
                  <c:v>2.6666666666666668E-2</c:v>
                </c:pt>
                <c:pt idx="9">
                  <c:v>3.0000000000000002E-2</c:v>
                </c:pt>
                <c:pt idx="10">
                  <c:v>3.3333333333333333E-2</c:v>
                </c:pt>
                <c:pt idx="11">
                  <c:v>3.6666666666666667E-2</c:v>
                </c:pt>
                <c:pt idx="12">
                  <c:v>0.04</c:v>
                </c:pt>
                <c:pt idx="13">
                  <c:v>4.3333333333333335E-2</c:v>
                </c:pt>
                <c:pt idx="14">
                  <c:v>4.6666666666666669E-2</c:v>
                </c:pt>
                <c:pt idx="15">
                  <c:v>0.05</c:v>
                </c:pt>
                <c:pt idx="16">
                  <c:v>5.3333333333333337E-2</c:v>
                </c:pt>
                <c:pt idx="17">
                  <c:v>5.6666666666666671E-2</c:v>
                </c:pt>
                <c:pt idx="18">
                  <c:v>6.0000000000000005E-2</c:v>
                </c:pt>
                <c:pt idx="19">
                  <c:v>6.3333333333333339E-2</c:v>
                </c:pt>
                <c:pt idx="20">
                  <c:v>6.6666666666666666E-2</c:v>
                </c:pt>
                <c:pt idx="21">
                  <c:v>7.0000000000000007E-2</c:v>
                </c:pt>
                <c:pt idx="22">
                  <c:v>7.3333333333333334E-2</c:v>
                </c:pt>
                <c:pt idx="23">
                  <c:v>7.6666666666666675E-2</c:v>
                </c:pt>
                <c:pt idx="24">
                  <c:v>0.08</c:v>
                </c:pt>
                <c:pt idx="25">
                  <c:v>8.3333333333333343E-2</c:v>
                </c:pt>
                <c:pt idx="26">
                  <c:v>8.666666666666667E-2</c:v>
                </c:pt>
                <c:pt idx="27">
                  <c:v>9.0000000000000011E-2</c:v>
                </c:pt>
                <c:pt idx="28">
                  <c:v>9.3333333333333338E-2</c:v>
                </c:pt>
                <c:pt idx="29">
                  <c:v>9.6666666666666679E-2</c:v>
                </c:pt>
                <c:pt idx="30">
                  <c:v>0.1</c:v>
                </c:pt>
                <c:pt idx="31">
                  <c:v>0.10333333333333335</c:v>
                </c:pt>
                <c:pt idx="32">
                  <c:v>0.10666666666666667</c:v>
                </c:pt>
                <c:pt idx="33">
                  <c:v>0.11</c:v>
                </c:pt>
                <c:pt idx="34">
                  <c:v>0.11333333333333334</c:v>
                </c:pt>
                <c:pt idx="35">
                  <c:v>0.11666666666666667</c:v>
                </c:pt>
                <c:pt idx="36">
                  <c:v>0.12000000000000001</c:v>
                </c:pt>
                <c:pt idx="37">
                  <c:v>0.12333333333333334</c:v>
                </c:pt>
                <c:pt idx="38">
                  <c:v>0.12666666666666668</c:v>
                </c:pt>
                <c:pt idx="39">
                  <c:v>0.13</c:v>
                </c:pt>
                <c:pt idx="40">
                  <c:v>0.13333333333333333</c:v>
                </c:pt>
                <c:pt idx="41">
                  <c:v>0.13666666666666669</c:v>
                </c:pt>
                <c:pt idx="42">
                  <c:v>0.14000000000000001</c:v>
                </c:pt>
                <c:pt idx="43">
                  <c:v>0.14333333333333334</c:v>
                </c:pt>
                <c:pt idx="44">
                  <c:v>0.14666666666666667</c:v>
                </c:pt>
                <c:pt idx="45">
                  <c:v>0.15000000000000002</c:v>
                </c:pt>
                <c:pt idx="46">
                  <c:v>0.15333333333333335</c:v>
                </c:pt>
                <c:pt idx="47">
                  <c:v>0.15666666666666668</c:v>
                </c:pt>
                <c:pt idx="48">
                  <c:v>0.16</c:v>
                </c:pt>
                <c:pt idx="49">
                  <c:v>0.16333333333333333</c:v>
                </c:pt>
                <c:pt idx="50">
                  <c:v>0.16666666666666669</c:v>
                </c:pt>
                <c:pt idx="51">
                  <c:v>0.17</c:v>
                </c:pt>
                <c:pt idx="52">
                  <c:v>0.17333333333333334</c:v>
                </c:pt>
                <c:pt idx="53">
                  <c:v>0.17666666666666667</c:v>
                </c:pt>
                <c:pt idx="54">
                  <c:v>0.18000000000000002</c:v>
                </c:pt>
                <c:pt idx="55">
                  <c:v>0.18333333333333335</c:v>
                </c:pt>
                <c:pt idx="56">
                  <c:v>0.18666666666666668</c:v>
                </c:pt>
                <c:pt idx="57">
                  <c:v>0.19</c:v>
                </c:pt>
                <c:pt idx="58">
                  <c:v>0.19333333333333336</c:v>
                </c:pt>
                <c:pt idx="59">
                  <c:v>0.19666666666666668</c:v>
                </c:pt>
                <c:pt idx="60">
                  <c:v>0.2</c:v>
                </c:pt>
                <c:pt idx="61">
                  <c:v>0.20333333333333334</c:v>
                </c:pt>
                <c:pt idx="62">
                  <c:v>0.20666666666666669</c:v>
                </c:pt>
                <c:pt idx="63">
                  <c:v>0.21000000000000002</c:v>
                </c:pt>
                <c:pt idx="64">
                  <c:v>0.21333333333333335</c:v>
                </c:pt>
                <c:pt idx="65">
                  <c:v>0.21666666666666667</c:v>
                </c:pt>
                <c:pt idx="66">
                  <c:v>0.22</c:v>
                </c:pt>
                <c:pt idx="67">
                  <c:v>0.22333333333333336</c:v>
                </c:pt>
                <c:pt idx="68">
                  <c:v>0.22666666666666668</c:v>
                </c:pt>
                <c:pt idx="69">
                  <c:v>0.23</c:v>
                </c:pt>
                <c:pt idx="70">
                  <c:v>0.23333333333333334</c:v>
                </c:pt>
                <c:pt idx="71">
                  <c:v>0.23666666666666669</c:v>
                </c:pt>
                <c:pt idx="72">
                  <c:v>0.24000000000000002</c:v>
                </c:pt>
                <c:pt idx="73">
                  <c:v>0.24333333333333335</c:v>
                </c:pt>
                <c:pt idx="74">
                  <c:v>0.24666666666666667</c:v>
                </c:pt>
                <c:pt idx="75">
                  <c:v>0.25</c:v>
                </c:pt>
                <c:pt idx="76">
                  <c:v>0.25333333333333335</c:v>
                </c:pt>
                <c:pt idx="77">
                  <c:v>0.25666666666666671</c:v>
                </c:pt>
                <c:pt idx="78">
                  <c:v>0.26</c:v>
                </c:pt>
                <c:pt idx="79">
                  <c:v>0.26333333333333336</c:v>
                </c:pt>
                <c:pt idx="80">
                  <c:v>0.26666666666666666</c:v>
                </c:pt>
                <c:pt idx="81">
                  <c:v>0.27</c:v>
                </c:pt>
                <c:pt idx="82">
                  <c:v>0.27333333333333337</c:v>
                </c:pt>
                <c:pt idx="83">
                  <c:v>0.27666666666666667</c:v>
                </c:pt>
                <c:pt idx="84">
                  <c:v>0.28000000000000003</c:v>
                </c:pt>
                <c:pt idx="85">
                  <c:v>0.28333333333333333</c:v>
                </c:pt>
                <c:pt idx="86">
                  <c:v>0.28666666666666668</c:v>
                </c:pt>
                <c:pt idx="87">
                  <c:v>0.29000000000000004</c:v>
                </c:pt>
                <c:pt idx="88">
                  <c:v>0.29333333333333333</c:v>
                </c:pt>
                <c:pt idx="89">
                  <c:v>0.29666666666666669</c:v>
                </c:pt>
                <c:pt idx="90">
                  <c:v>0.30000000000000004</c:v>
                </c:pt>
                <c:pt idx="91">
                  <c:v>0.30333333333333334</c:v>
                </c:pt>
                <c:pt idx="92">
                  <c:v>0.3066666666666667</c:v>
                </c:pt>
                <c:pt idx="93">
                  <c:v>0.31</c:v>
                </c:pt>
                <c:pt idx="94">
                  <c:v>0.31333333333333335</c:v>
                </c:pt>
                <c:pt idx="95">
                  <c:v>0.31666666666666671</c:v>
                </c:pt>
                <c:pt idx="96">
                  <c:v>0.32</c:v>
                </c:pt>
                <c:pt idx="97">
                  <c:v>0.32333333333333336</c:v>
                </c:pt>
                <c:pt idx="98">
                  <c:v>0.32666666666666666</c:v>
                </c:pt>
                <c:pt idx="99">
                  <c:v>0.33</c:v>
                </c:pt>
                <c:pt idx="100">
                  <c:v>0.33333333333333337</c:v>
                </c:pt>
                <c:pt idx="101">
                  <c:v>0.33666666666666667</c:v>
                </c:pt>
                <c:pt idx="102">
                  <c:v>0.34</c:v>
                </c:pt>
                <c:pt idx="103">
                  <c:v>0.34333333333333338</c:v>
                </c:pt>
                <c:pt idx="104">
                  <c:v>0.34666666666666668</c:v>
                </c:pt>
                <c:pt idx="105">
                  <c:v>0.35000000000000003</c:v>
                </c:pt>
                <c:pt idx="106">
                  <c:v>0.35333333333333333</c:v>
                </c:pt>
                <c:pt idx="107">
                  <c:v>0.35666666666666669</c:v>
                </c:pt>
                <c:pt idx="108">
                  <c:v>0.36000000000000004</c:v>
                </c:pt>
                <c:pt idx="109">
                  <c:v>0.36333333333333334</c:v>
                </c:pt>
                <c:pt idx="110">
                  <c:v>0.3666666666666667</c:v>
                </c:pt>
                <c:pt idx="111">
                  <c:v>0.37000000000000005</c:v>
                </c:pt>
                <c:pt idx="112">
                  <c:v>0.37333333333333335</c:v>
                </c:pt>
                <c:pt idx="113">
                  <c:v>0.37666666666666671</c:v>
                </c:pt>
                <c:pt idx="114">
                  <c:v>0.38</c:v>
                </c:pt>
                <c:pt idx="115">
                  <c:v>0.38333333333333336</c:v>
                </c:pt>
                <c:pt idx="116">
                  <c:v>0.38666666666666671</c:v>
                </c:pt>
                <c:pt idx="117">
                  <c:v>0.39</c:v>
                </c:pt>
                <c:pt idx="118">
                  <c:v>0.39333333333333337</c:v>
                </c:pt>
                <c:pt idx="119">
                  <c:v>0.39666666666666667</c:v>
                </c:pt>
                <c:pt idx="120">
                  <c:v>0.4</c:v>
                </c:pt>
                <c:pt idx="121">
                  <c:v>0.40333333333333338</c:v>
                </c:pt>
                <c:pt idx="122">
                  <c:v>0.40666666666666668</c:v>
                </c:pt>
                <c:pt idx="123">
                  <c:v>0.41000000000000003</c:v>
                </c:pt>
                <c:pt idx="124">
                  <c:v>0.41333333333333339</c:v>
                </c:pt>
                <c:pt idx="125">
                  <c:v>0.41666666666666669</c:v>
                </c:pt>
                <c:pt idx="126">
                  <c:v>0.42000000000000004</c:v>
                </c:pt>
                <c:pt idx="127">
                  <c:v>0.42333333333333334</c:v>
                </c:pt>
                <c:pt idx="128">
                  <c:v>0.42666666666666669</c:v>
                </c:pt>
                <c:pt idx="129">
                  <c:v>0.43000000000000005</c:v>
                </c:pt>
                <c:pt idx="130">
                  <c:v>0.43333333333333335</c:v>
                </c:pt>
                <c:pt idx="131">
                  <c:v>0.4366666666666667</c:v>
                </c:pt>
                <c:pt idx="132">
                  <c:v>0.44</c:v>
                </c:pt>
                <c:pt idx="133">
                  <c:v>0.44333333333333336</c:v>
                </c:pt>
                <c:pt idx="134">
                  <c:v>0.44666666666666671</c:v>
                </c:pt>
                <c:pt idx="135">
                  <c:v>0.45</c:v>
                </c:pt>
                <c:pt idx="136">
                  <c:v>0.45333333333333337</c:v>
                </c:pt>
                <c:pt idx="137">
                  <c:v>0.45666666666666672</c:v>
                </c:pt>
                <c:pt idx="138">
                  <c:v>0.46</c:v>
                </c:pt>
                <c:pt idx="139">
                  <c:v>0.46333333333333337</c:v>
                </c:pt>
                <c:pt idx="140">
                  <c:v>0.46666666666666667</c:v>
                </c:pt>
                <c:pt idx="141">
                  <c:v>0.47000000000000003</c:v>
                </c:pt>
                <c:pt idx="142">
                  <c:v>0.47333333333333338</c:v>
                </c:pt>
                <c:pt idx="143">
                  <c:v>0.47666666666666668</c:v>
                </c:pt>
                <c:pt idx="144">
                  <c:v>0.48000000000000004</c:v>
                </c:pt>
                <c:pt idx="145">
                  <c:v>0.48333333333333334</c:v>
                </c:pt>
                <c:pt idx="146">
                  <c:v>0.48666666666666669</c:v>
                </c:pt>
                <c:pt idx="147">
                  <c:v>0.49000000000000005</c:v>
                </c:pt>
                <c:pt idx="148">
                  <c:v>0.49333333333333335</c:v>
                </c:pt>
                <c:pt idx="149">
                  <c:v>0.4966666666666667</c:v>
                </c:pt>
                <c:pt idx="150">
                  <c:v>0.5</c:v>
                </c:pt>
              </c:numCache>
            </c:numRef>
          </c:xVal>
          <c:yVal>
            <c:numRef>
              <c:f>Eff_vs_IOUT!$AO$7:$AO$157</c:f>
              <c:numCache>
                <c:formatCode>General</c:formatCode>
                <c:ptCount val="151"/>
                <c:pt idx="0">
                  <c:v>0</c:v>
                </c:pt>
                <c:pt idx="1">
                  <c:v>1.3084897907015752E-6</c:v>
                </c:pt>
                <c:pt idx="2">
                  <c:v>3.7009680164737987E-6</c:v>
                </c:pt>
                <c:pt idx="3">
                  <c:v>6.7991123960408815E-6</c:v>
                </c:pt>
                <c:pt idx="4">
                  <c:v>1.04679183256126E-5</c:v>
                </c:pt>
                <c:pt idx="5">
                  <c:v>1.4629360599365972E-5</c:v>
                </c:pt>
                <c:pt idx="6">
                  <c:v>1.9230793925160098E-5</c:v>
                </c:pt>
                <c:pt idx="7">
                  <c:v>2.4233570054843275E-5</c:v>
                </c:pt>
                <c:pt idx="8">
                  <c:v>2.960774413179039E-5</c:v>
                </c:pt>
                <c:pt idx="9">
                  <c:v>3.5329224348942527E-5</c:v>
                </c:pt>
                <c:pt idx="10">
                  <c:v>4.1378080336939909E-5</c:v>
                </c:pt>
                <c:pt idx="11">
                  <c:v>4.7737466455445715E-5</c:v>
                </c:pt>
                <c:pt idx="12">
                  <c:v>5.4392899168327039E-5</c:v>
                </c:pt>
                <c:pt idx="13">
                  <c:v>6.1331751439343718E-5</c:v>
                </c:pt>
                <c:pt idx="14">
                  <c:v>6.854288687255575E-5</c:v>
                </c:pt>
                <c:pt idx="15">
                  <c:v>7.6016387521044441E-5</c:v>
                </c:pt>
                <c:pt idx="16">
                  <c:v>8.3743346604900815E-5</c:v>
                </c:pt>
                <c:pt idx="17">
                  <c:v>9.1715707490783987E-5</c:v>
                </c:pt>
                <c:pt idx="18">
                  <c:v>9.9926136444792644E-5</c:v>
                </c:pt>
                <c:pt idx="19">
                  <c:v>1.0836792056013423E-4</c:v>
                </c:pt>
                <c:pt idx="20">
                  <c:v>1.1703488479492779E-4</c:v>
                </c:pt>
                <c:pt idx="21">
                  <c:v>1.2592132375130477E-4</c:v>
                </c:pt>
                <c:pt idx="22">
                  <c:v>1.3502194498924401E-4</c:v>
                </c:pt>
                <c:pt idx="23">
                  <c:v>1.4433182148212791E-4</c:v>
                </c:pt>
                <c:pt idx="24">
                  <c:v>1.5384635140128076E-4</c:v>
                </c:pt>
                <c:pt idx="25">
                  <c:v>1.63561223837697E-4</c:v>
                </c:pt>
                <c:pt idx="26">
                  <c:v>1.7347238937923096E-4</c:v>
                </c:pt>
                <c:pt idx="27">
                  <c:v>1.835760346931038E-4</c:v>
                </c:pt>
                <c:pt idx="28">
                  <c:v>1.9386856043874623E-4</c:v>
                </c:pt>
                <c:pt idx="29">
                  <c:v>2.0434656197004661E-4</c:v>
                </c:pt>
                <c:pt idx="30">
                  <c:v>2.1500681238973988E-4</c:v>
                </c:pt>
                <c:pt idx="31">
                  <c:v>2.2584624759964948E-4</c:v>
                </c:pt>
                <c:pt idx="32">
                  <c:v>2.3686195305432312E-4</c:v>
                </c:pt>
                <c:pt idx="33">
                  <c:v>2.4805115197634086E-4</c:v>
                </c:pt>
                <c:pt idx="34">
                  <c:v>2.5941119483222075E-4</c:v>
                </c:pt>
                <c:pt idx="35">
                  <c:v>2.7093954990066443E-4</c:v>
                </c:pt>
                <c:pt idx="36">
                  <c:v>2.8263379479154022E-4</c:v>
                </c:pt>
                <c:pt idx="37">
                  <c:v>2.9449160879582015E-4</c:v>
                </c:pt>
                <c:pt idx="38">
                  <c:v>3.2103444480833631E-4</c:v>
                </c:pt>
                <c:pt idx="39">
                  <c:v>3.3412829112569223E-4</c:v>
                </c:pt>
                <c:pt idx="40">
                  <c:v>3.4756223734739444E-4</c:v>
                </c:pt>
                <c:pt idx="41">
                  <c:v>3.6133628347344407E-4</c:v>
                </c:pt>
                <c:pt idx="42">
                  <c:v>3.7545042950384053E-4</c:v>
                </c:pt>
                <c:pt idx="43">
                  <c:v>3.8990467543858375E-4</c:v>
                </c:pt>
                <c:pt idx="44">
                  <c:v>4.0469902127767402E-4</c:v>
                </c:pt>
                <c:pt idx="45">
                  <c:v>4.1983346702111134E-4</c:v>
                </c:pt>
                <c:pt idx="46">
                  <c:v>4.3530801266889542E-4</c:v>
                </c:pt>
                <c:pt idx="47">
                  <c:v>4.5112265822102628E-4</c:v>
                </c:pt>
                <c:pt idx="48">
                  <c:v>4.6727740367750423E-4</c:v>
                </c:pt>
                <c:pt idx="49">
                  <c:v>4.8377224903832901E-4</c:v>
                </c:pt>
                <c:pt idx="50">
                  <c:v>5.0060719430350072E-4</c:v>
                </c:pt>
                <c:pt idx="51">
                  <c:v>5.1778223947301905E-4</c:v>
                </c:pt>
                <c:pt idx="52">
                  <c:v>5.3529738454688436E-4</c:v>
                </c:pt>
                <c:pt idx="53">
                  <c:v>5.5315262952509655E-4</c:v>
                </c:pt>
                <c:pt idx="54">
                  <c:v>5.7134797440765595E-4</c:v>
                </c:pt>
                <c:pt idx="55">
                  <c:v>5.8988341919456223E-4</c:v>
                </c:pt>
                <c:pt idx="56">
                  <c:v>6.0875896388581517E-4</c:v>
                </c:pt>
                <c:pt idx="57">
                  <c:v>6.27974608481415E-4</c:v>
                </c:pt>
                <c:pt idx="58">
                  <c:v>6.4753035298136235E-4</c:v>
                </c:pt>
                <c:pt idx="59">
                  <c:v>6.6742619738565582E-4</c:v>
                </c:pt>
                <c:pt idx="60">
                  <c:v>6.876621416942965E-4</c:v>
                </c:pt>
                <c:pt idx="61">
                  <c:v>7.0823818590728385E-4</c:v>
                </c:pt>
                <c:pt idx="62">
                  <c:v>7.2915433002461851E-4</c:v>
                </c:pt>
                <c:pt idx="63">
                  <c:v>7.5041057404630004E-4</c:v>
                </c:pt>
                <c:pt idx="64">
                  <c:v>7.7200691797232846E-4</c:v>
                </c:pt>
                <c:pt idx="65">
                  <c:v>7.9394336180270354E-4</c:v>
                </c:pt>
                <c:pt idx="66">
                  <c:v>8.162199055374254E-4</c:v>
                </c:pt>
                <c:pt idx="67">
                  <c:v>8.3883654917649457E-4</c:v>
                </c:pt>
                <c:pt idx="68">
                  <c:v>8.6179329271991007E-4</c:v>
                </c:pt>
                <c:pt idx="69">
                  <c:v>8.8509013616767278E-4</c:v>
                </c:pt>
                <c:pt idx="70">
                  <c:v>9.0872707951978248E-4</c:v>
                </c:pt>
                <c:pt idx="71">
                  <c:v>9.3270412277623907E-4</c:v>
                </c:pt>
                <c:pt idx="72">
                  <c:v>9.5702126593704307E-4</c:v>
                </c:pt>
                <c:pt idx="73">
                  <c:v>9.8167850900219298E-4</c:v>
                </c:pt>
                <c:pt idx="74">
                  <c:v>1.0066758519716903E-3</c:v>
                </c:pt>
                <c:pt idx="75">
                  <c:v>1.0320132948455345E-3</c:v>
                </c:pt>
                <c:pt idx="76">
                  <c:v>1.0576908376237263E-3</c:v>
                </c:pt>
                <c:pt idx="77">
                  <c:v>1.0837084803062642E-3</c:v>
                </c:pt>
                <c:pt idx="78">
                  <c:v>1.1100662228931484E-3</c:v>
                </c:pt>
                <c:pt idx="79">
                  <c:v>1.1367640653843802E-3</c:v>
                </c:pt>
                <c:pt idx="80">
                  <c:v>1.1638020077799588E-3</c:v>
                </c:pt>
                <c:pt idx="81">
                  <c:v>1.1911800500798847E-3</c:v>
                </c:pt>
                <c:pt idx="82">
                  <c:v>1.2188981922841569E-3</c:v>
                </c:pt>
                <c:pt idx="83">
                  <c:v>1.2469564343927768E-3</c:v>
                </c:pt>
                <c:pt idx="84">
                  <c:v>1.2753547764057435E-3</c:v>
                </c:pt>
                <c:pt idx="85">
                  <c:v>1.3040932183230563E-3</c:v>
                </c:pt>
                <c:pt idx="86">
                  <c:v>1.333171760144716E-3</c:v>
                </c:pt>
                <c:pt idx="87">
                  <c:v>1.3625904018707228E-3</c:v>
                </c:pt>
                <c:pt idx="88">
                  <c:v>1.3923491435010762E-3</c:v>
                </c:pt>
                <c:pt idx="89">
                  <c:v>1.4224479850357776E-3</c:v>
                </c:pt>
                <c:pt idx="90">
                  <c:v>1.4528869264748259E-3</c:v>
                </c:pt>
                <c:pt idx="91">
                  <c:v>1.4836659678182204E-3</c:v>
                </c:pt>
                <c:pt idx="92">
                  <c:v>1.5147851090659623E-3</c:v>
                </c:pt>
                <c:pt idx="93">
                  <c:v>1.5462443502180497E-3</c:v>
                </c:pt>
                <c:pt idx="94">
                  <c:v>1.5780436912744861E-3</c:v>
                </c:pt>
                <c:pt idx="95">
                  <c:v>1.6101831322352675E-3</c:v>
                </c:pt>
                <c:pt idx="96">
                  <c:v>1.6426626731003971E-3</c:v>
                </c:pt>
                <c:pt idx="97">
                  <c:v>1.6754823138698735E-3</c:v>
                </c:pt>
                <c:pt idx="98">
                  <c:v>1.7086420545436957E-3</c:v>
                </c:pt>
                <c:pt idx="99">
                  <c:v>1.7421418951218651E-3</c:v>
                </c:pt>
                <c:pt idx="100">
                  <c:v>1.7759818356043826E-3</c:v>
                </c:pt>
                <c:pt idx="101">
                  <c:v>1.8101618759912455E-3</c:v>
                </c:pt>
                <c:pt idx="102">
                  <c:v>1.8446820162824574E-3</c:v>
                </c:pt>
                <c:pt idx="103">
                  <c:v>1.8795422564780158E-3</c:v>
                </c:pt>
                <c:pt idx="104">
                  <c:v>1.9147425965779176E-3</c:v>
                </c:pt>
                <c:pt idx="105">
                  <c:v>1.9502830365821708E-3</c:v>
                </c:pt>
                <c:pt idx="106">
                  <c:v>1.9861635764907679E-3</c:v>
                </c:pt>
                <c:pt idx="107">
                  <c:v>2.022384216303714E-3</c:v>
                </c:pt>
                <c:pt idx="108">
                  <c:v>2.0589449560210055E-3</c:v>
                </c:pt>
                <c:pt idx="109">
                  <c:v>2.095845795642644E-3</c:v>
                </c:pt>
                <c:pt idx="110">
                  <c:v>2.1330867351686297E-3</c:v>
                </c:pt>
                <c:pt idx="111">
                  <c:v>2.1706677745989621E-3</c:v>
                </c:pt>
                <c:pt idx="112">
                  <c:v>2.2085889139336415E-3</c:v>
                </c:pt>
                <c:pt idx="113">
                  <c:v>2.246850153172668E-3</c:v>
                </c:pt>
                <c:pt idx="114">
                  <c:v>2.2854514923160403E-3</c:v>
                </c:pt>
                <c:pt idx="115">
                  <c:v>2.3243929313637619E-3</c:v>
                </c:pt>
                <c:pt idx="116">
                  <c:v>2.3636744703158285E-3</c:v>
                </c:pt>
                <c:pt idx="117">
                  <c:v>2.4032961091722434E-3</c:v>
                </c:pt>
                <c:pt idx="118">
                  <c:v>2.4432578479330037E-3</c:v>
                </c:pt>
                <c:pt idx="119">
                  <c:v>2.4835596865981115E-3</c:v>
                </c:pt>
                <c:pt idx="120">
                  <c:v>2.5242016251675672E-3</c:v>
                </c:pt>
                <c:pt idx="121">
                  <c:v>2.5651836636413688E-3</c:v>
                </c:pt>
                <c:pt idx="122">
                  <c:v>2.6065058020195171E-3</c:v>
                </c:pt>
                <c:pt idx="123">
                  <c:v>2.6481680403020115E-3</c:v>
                </c:pt>
                <c:pt idx="124">
                  <c:v>2.6901703784888544E-3</c:v>
                </c:pt>
                <c:pt idx="125">
                  <c:v>2.7325128165800443E-3</c:v>
                </c:pt>
                <c:pt idx="126">
                  <c:v>2.7751953545755792E-3</c:v>
                </c:pt>
                <c:pt idx="127">
                  <c:v>2.8182179924754625E-3</c:v>
                </c:pt>
                <c:pt idx="128">
                  <c:v>2.8615807302796946E-3</c:v>
                </c:pt>
                <c:pt idx="129">
                  <c:v>2.9052835679882704E-3</c:v>
                </c:pt>
                <c:pt idx="130">
                  <c:v>2.9493265056011945E-3</c:v>
                </c:pt>
                <c:pt idx="131">
                  <c:v>2.9937095431184658E-3</c:v>
                </c:pt>
                <c:pt idx="132">
                  <c:v>3.038432680540082E-3</c:v>
                </c:pt>
                <c:pt idx="133">
                  <c:v>3.0834959178660461E-3</c:v>
                </c:pt>
                <c:pt idx="134">
                  <c:v>3.1288992550963582E-3</c:v>
                </c:pt>
                <c:pt idx="135">
                  <c:v>3.1746426922310165E-3</c:v>
                </c:pt>
                <c:pt idx="136">
                  <c:v>3.2207262292700211E-3</c:v>
                </c:pt>
                <c:pt idx="137">
                  <c:v>3.267149866213374E-3</c:v>
                </c:pt>
                <c:pt idx="138">
                  <c:v>3.3139136030610715E-3</c:v>
                </c:pt>
                <c:pt idx="139">
                  <c:v>3.3610174398131186E-3</c:v>
                </c:pt>
                <c:pt idx="140">
                  <c:v>3.4084613764695103E-3</c:v>
                </c:pt>
                <c:pt idx="141">
                  <c:v>3.4562454130302508E-3</c:v>
                </c:pt>
                <c:pt idx="142">
                  <c:v>3.5043695494953371E-3</c:v>
                </c:pt>
                <c:pt idx="143">
                  <c:v>3.5528337858647717E-3</c:v>
                </c:pt>
                <c:pt idx="144">
                  <c:v>3.6016381221385526E-3</c:v>
                </c:pt>
                <c:pt idx="145">
                  <c:v>3.6507825583166798E-3</c:v>
                </c:pt>
                <c:pt idx="146">
                  <c:v>3.7002670943991531E-3</c:v>
                </c:pt>
                <c:pt idx="147">
                  <c:v>3.7500917303859745E-3</c:v>
                </c:pt>
                <c:pt idx="148">
                  <c:v>3.800256466277142E-3</c:v>
                </c:pt>
                <c:pt idx="149">
                  <c:v>3.8507613020726567E-3</c:v>
                </c:pt>
                <c:pt idx="150">
                  <c:v>3.9016062377725189E-3</c:v>
                </c:pt>
              </c:numCache>
            </c:numRef>
          </c:yVal>
          <c:smooth val="1"/>
          <c:extLst>
            <c:ext xmlns:c16="http://schemas.microsoft.com/office/drawing/2014/chart" uri="{C3380CC4-5D6E-409C-BE32-E72D297353CC}">
              <c16:uniqueId val="{00000003-8AEF-4CD2-9E91-5056CF00EB36}"/>
            </c:ext>
          </c:extLst>
        </c:ser>
        <c:dLbls>
          <c:showLegendKey val="0"/>
          <c:showVal val="0"/>
          <c:showCatName val="0"/>
          <c:showSerName val="0"/>
          <c:showPercent val="0"/>
          <c:showBubbleSize val="0"/>
        </c:dLbls>
        <c:axId val="145058432"/>
        <c:axId val="145056896"/>
      </c:scatterChart>
      <c:valAx>
        <c:axId val="145036800"/>
        <c:scaling>
          <c:orientation val="minMax"/>
        </c:scaling>
        <c:delete val="0"/>
        <c:axPos val="b"/>
        <c:majorGridlines/>
        <c:numFmt formatCode="General" sourceLinked="1"/>
        <c:majorTickMark val="out"/>
        <c:minorTickMark val="none"/>
        <c:tickLblPos val="nextTo"/>
        <c:crossAx val="145038336"/>
        <c:crosses val="autoZero"/>
        <c:crossBetween val="midCat"/>
      </c:valAx>
      <c:valAx>
        <c:axId val="145038336"/>
        <c:scaling>
          <c:orientation val="minMax"/>
          <c:max val="100"/>
        </c:scaling>
        <c:delete val="0"/>
        <c:axPos val="l"/>
        <c:majorGridlines/>
        <c:title>
          <c:overlay val="0"/>
          <c:txPr>
            <a:bodyPr rot="-5400000" vert="horz"/>
            <a:lstStyle/>
            <a:p>
              <a:pPr>
                <a:defRPr/>
              </a:pPr>
              <a:endParaRPr lang="en-US"/>
            </a:p>
          </c:txPr>
        </c:title>
        <c:numFmt formatCode="General" sourceLinked="1"/>
        <c:majorTickMark val="out"/>
        <c:minorTickMark val="none"/>
        <c:tickLblPos val="nextTo"/>
        <c:crossAx val="145036800"/>
        <c:crosses val="autoZero"/>
        <c:crossBetween val="midCat"/>
      </c:valAx>
      <c:valAx>
        <c:axId val="145056896"/>
        <c:scaling>
          <c:orientation val="minMax"/>
        </c:scaling>
        <c:delete val="0"/>
        <c:axPos val="r"/>
        <c:numFmt formatCode="General" sourceLinked="1"/>
        <c:majorTickMark val="out"/>
        <c:minorTickMark val="none"/>
        <c:tickLblPos val="nextTo"/>
        <c:crossAx val="145058432"/>
        <c:crosses val="max"/>
        <c:crossBetween val="midCat"/>
      </c:valAx>
      <c:valAx>
        <c:axId val="145058432"/>
        <c:scaling>
          <c:orientation val="minMax"/>
        </c:scaling>
        <c:delete val="1"/>
        <c:axPos val="b"/>
        <c:numFmt formatCode="General" sourceLinked="1"/>
        <c:majorTickMark val="out"/>
        <c:minorTickMark val="none"/>
        <c:tickLblPos val="nextTo"/>
        <c:crossAx val="145056896"/>
        <c:crosses val="autoZero"/>
        <c:crossBetween val="midCat"/>
      </c:valAx>
    </c:plotArea>
    <c:legend>
      <c:legendPos val="r"/>
      <c:overlay val="1"/>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TW"/>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Plant Transfer</a:t>
            </a:r>
            <a:r>
              <a:rPr lang="en-US" baseline="0"/>
              <a:t> Function</a:t>
            </a:r>
            <a:endParaRPr lang="en-US"/>
          </a:p>
        </c:rich>
      </c:tx>
      <c:overlay val="0"/>
    </c:title>
    <c:autoTitleDeleted val="0"/>
    <c:plotArea>
      <c:layout/>
      <c:scatterChart>
        <c:scatterStyle val="smoothMarker"/>
        <c:varyColors val="0"/>
        <c:ser>
          <c:idx val="0"/>
          <c:order val="0"/>
          <c:tx>
            <c:v>Gain(dB)</c:v>
          </c:tx>
          <c:marker>
            <c:symbol val="none"/>
          </c:marker>
          <c:xVal>
            <c:numRef>
              <c:f>Loop_Modeling!$O$19:$O$560</c:f>
              <c:numCache>
                <c:formatCode>0.00</c:formatCode>
                <c:ptCount val="542"/>
                <c:pt idx="0">
                  <c:v>10.232929922807543</c:v>
                </c:pt>
                <c:pt idx="1">
                  <c:v>10.471285480509</c:v>
                </c:pt>
                <c:pt idx="2">
                  <c:v>10.715193052376069</c:v>
                </c:pt>
                <c:pt idx="3">
                  <c:v>10.964781961431854</c:v>
                </c:pt>
                <c:pt idx="4">
                  <c:v>11.220184543019636</c:v>
                </c:pt>
                <c:pt idx="5">
                  <c:v>11.481536214968834</c:v>
                </c:pt>
                <c:pt idx="6">
                  <c:v>11.748975549395301</c:v>
                </c:pt>
                <c:pt idx="7">
                  <c:v>12.022644346174133</c:v>
                </c:pt>
                <c:pt idx="8">
                  <c:v>12.302687708123818</c:v>
                </c:pt>
                <c:pt idx="9">
                  <c:v>12.58925411794168</c:v>
                </c:pt>
                <c:pt idx="10">
                  <c:v>12.882495516931346</c:v>
                </c:pt>
                <c:pt idx="11">
                  <c:v>13.182567385564075</c:v>
                </c:pt>
                <c:pt idx="12">
                  <c:v>13.489628825916535</c:v>
                </c:pt>
                <c:pt idx="13">
                  <c:v>13.803842646028857</c:v>
                </c:pt>
                <c:pt idx="14">
                  <c:v>14.125375446227544</c:v>
                </c:pt>
                <c:pt idx="15">
                  <c:v>14.454397707459275</c:v>
                </c:pt>
                <c:pt idx="16">
                  <c:v>14.791083881682074</c:v>
                </c:pt>
                <c:pt idx="17">
                  <c:v>15.135612484362087</c:v>
                </c:pt>
                <c:pt idx="18">
                  <c:v>15.488166189124817</c:v>
                </c:pt>
                <c:pt idx="19">
                  <c:v>15.848931924611136</c:v>
                </c:pt>
                <c:pt idx="20">
                  <c:v>16.218100973589298</c:v>
                </c:pt>
                <c:pt idx="21">
                  <c:v>16.595869074375614</c:v>
                </c:pt>
                <c:pt idx="22">
                  <c:v>16.982436524617448</c:v>
                </c:pt>
                <c:pt idx="23">
                  <c:v>17.378008287493756</c:v>
                </c:pt>
                <c:pt idx="24">
                  <c:v>17.782794100389236</c:v>
                </c:pt>
                <c:pt idx="25">
                  <c:v>18.197008586099841</c:v>
                </c:pt>
                <c:pt idx="26">
                  <c:v>18.62087136662868</c:v>
                </c:pt>
                <c:pt idx="27">
                  <c:v>19.054607179632477</c:v>
                </c:pt>
                <c:pt idx="28">
                  <c:v>19.498445997580465</c:v>
                </c:pt>
                <c:pt idx="29">
                  <c:v>19.952623149688804</c:v>
                </c:pt>
                <c:pt idx="30">
                  <c:v>20.4173794466953</c:v>
                </c:pt>
                <c:pt idx="31">
                  <c:v>20.8929613085404</c:v>
                </c:pt>
                <c:pt idx="32">
                  <c:v>21.379620895022335</c:v>
                </c:pt>
                <c:pt idx="33">
                  <c:v>21.877616239495538</c:v>
                </c:pt>
                <c:pt idx="34">
                  <c:v>22.387211385683404</c:v>
                </c:pt>
                <c:pt idx="35">
                  <c:v>22.908676527677727</c:v>
                </c:pt>
                <c:pt idx="36">
                  <c:v>23.442288153199236</c:v>
                </c:pt>
                <c:pt idx="37">
                  <c:v>23.988329190194907</c:v>
                </c:pt>
                <c:pt idx="38">
                  <c:v>24.547089156850316</c:v>
                </c:pt>
                <c:pt idx="39">
                  <c:v>25.118864315095799</c:v>
                </c:pt>
                <c:pt idx="40">
                  <c:v>25.703957827688647</c:v>
                </c:pt>
                <c:pt idx="41">
                  <c:v>26.302679918953825</c:v>
                </c:pt>
                <c:pt idx="42">
                  <c:v>26.915348039269158</c:v>
                </c:pt>
                <c:pt idx="43">
                  <c:v>27.542287033381665</c:v>
                </c:pt>
                <c:pt idx="44">
                  <c:v>28.183829312644548</c:v>
                </c:pt>
                <c:pt idx="45">
                  <c:v>28.840315031266066</c:v>
                </c:pt>
                <c:pt idx="46">
                  <c:v>29.512092266663863</c:v>
                </c:pt>
                <c:pt idx="47">
                  <c:v>30.199517204020164</c:v>
                </c:pt>
                <c:pt idx="48">
                  <c:v>30.902954325135919</c:v>
                </c:pt>
                <c:pt idx="49">
                  <c:v>31.622776601683803</c:v>
                </c:pt>
                <c:pt idx="50">
                  <c:v>32.359365692962832</c:v>
                </c:pt>
                <c:pt idx="51">
                  <c:v>33.113112148259127</c:v>
                </c:pt>
                <c:pt idx="52">
                  <c:v>33.884415613920268</c:v>
                </c:pt>
                <c:pt idx="53">
                  <c:v>34.67368504525318</c:v>
                </c:pt>
                <c:pt idx="54">
                  <c:v>35.481338923357555</c:v>
                </c:pt>
                <c:pt idx="55">
                  <c:v>36.307805477010156</c:v>
                </c:pt>
                <c:pt idx="56">
                  <c:v>37.15352290971726</c:v>
                </c:pt>
                <c:pt idx="57">
                  <c:v>38.018939632056139</c:v>
                </c:pt>
                <c:pt idx="58">
                  <c:v>38.904514499428053</c:v>
                </c:pt>
                <c:pt idx="59">
                  <c:v>39.810717055349755</c:v>
                </c:pt>
                <c:pt idx="60">
                  <c:v>40.738027780411279</c:v>
                </c:pt>
                <c:pt idx="61">
                  <c:v>41.686938347033561</c:v>
                </c:pt>
                <c:pt idx="62">
                  <c:v>42.657951880159267</c:v>
                </c:pt>
                <c:pt idx="63">
                  <c:v>43.651583224016633</c:v>
                </c:pt>
                <c:pt idx="64">
                  <c:v>44.668359215096324</c:v>
                </c:pt>
                <c:pt idx="65">
                  <c:v>45.70881896148753</c:v>
                </c:pt>
                <c:pt idx="66">
                  <c:v>46.773514128719818</c:v>
                </c:pt>
                <c:pt idx="67">
                  <c:v>47.863009232263877</c:v>
                </c:pt>
                <c:pt idx="68">
                  <c:v>48.977881936844632</c:v>
                </c:pt>
                <c:pt idx="69">
                  <c:v>50.118723362727238</c:v>
                </c:pt>
                <c:pt idx="70">
                  <c:v>51.28613839913649</c:v>
                </c:pt>
                <c:pt idx="71">
                  <c:v>52.480746024977286</c:v>
                </c:pt>
                <c:pt idx="72">
                  <c:v>53.703179637025293</c:v>
                </c:pt>
                <c:pt idx="73">
                  <c:v>54.95408738576247</c:v>
                </c:pt>
                <c:pt idx="74">
                  <c:v>56.234132519034915</c:v>
                </c:pt>
                <c:pt idx="75">
                  <c:v>57.543993733715695</c:v>
                </c:pt>
                <c:pt idx="76">
                  <c:v>58.884365535558949</c:v>
                </c:pt>
                <c:pt idx="77">
                  <c:v>60.255958607435822</c:v>
                </c:pt>
                <c:pt idx="78">
                  <c:v>61.659500186148257</c:v>
                </c:pt>
                <c:pt idx="79">
                  <c:v>63.095734448019364</c:v>
                </c:pt>
                <c:pt idx="80">
                  <c:v>64.565422903465588</c:v>
                </c:pt>
                <c:pt idx="81">
                  <c:v>66.069344800759623</c:v>
                </c:pt>
                <c:pt idx="82">
                  <c:v>67.60829753919819</c:v>
                </c:pt>
                <c:pt idx="83">
                  <c:v>69.183097091893657</c:v>
                </c:pt>
                <c:pt idx="84">
                  <c:v>70.794578438413865</c:v>
                </c:pt>
                <c:pt idx="85">
                  <c:v>72.443596007499011</c:v>
                </c:pt>
                <c:pt idx="86">
                  <c:v>74.131024130091816</c:v>
                </c:pt>
                <c:pt idx="87">
                  <c:v>75.857757502918361</c:v>
                </c:pt>
                <c:pt idx="88">
                  <c:v>77.624711662869217</c:v>
                </c:pt>
                <c:pt idx="89">
                  <c:v>79.432823472428197</c:v>
                </c:pt>
                <c:pt idx="90">
                  <c:v>81.283051616409963</c:v>
                </c:pt>
                <c:pt idx="91">
                  <c:v>83.176377110267126</c:v>
                </c:pt>
                <c:pt idx="92">
                  <c:v>85.113803820237734</c:v>
                </c:pt>
                <c:pt idx="93">
                  <c:v>87.096358995608071</c:v>
                </c:pt>
                <c:pt idx="94">
                  <c:v>89.125093813374562</c:v>
                </c:pt>
                <c:pt idx="95">
                  <c:v>91.201083935590972</c:v>
                </c:pt>
                <c:pt idx="96">
                  <c:v>93.325430079699174</c:v>
                </c:pt>
                <c:pt idx="97">
                  <c:v>95.499258602143655</c:v>
                </c:pt>
                <c:pt idx="98">
                  <c:v>97.723722095581124</c:v>
                </c:pt>
                <c:pt idx="99">
                  <c:v>100</c:v>
                </c:pt>
                <c:pt idx="100">
                  <c:v>102.32929922807544</c:v>
                </c:pt>
                <c:pt idx="101">
                  <c:v>104.71285480508998</c:v>
                </c:pt>
                <c:pt idx="102">
                  <c:v>107.15193052376065</c:v>
                </c:pt>
                <c:pt idx="103">
                  <c:v>109.64781961431861</c:v>
                </c:pt>
                <c:pt idx="104">
                  <c:v>112.20184543019634</c:v>
                </c:pt>
                <c:pt idx="105">
                  <c:v>114.81536214968835</c:v>
                </c:pt>
                <c:pt idx="106">
                  <c:v>117.48975549395293</c:v>
                </c:pt>
                <c:pt idx="107">
                  <c:v>120.22644346174135</c:v>
                </c:pt>
                <c:pt idx="108">
                  <c:v>123.02687708123821</c:v>
                </c:pt>
                <c:pt idx="109">
                  <c:v>125.89254117941677</c:v>
                </c:pt>
                <c:pt idx="110">
                  <c:v>128.82495516931343</c:v>
                </c:pt>
                <c:pt idx="111">
                  <c:v>131.82567385564084</c:v>
                </c:pt>
                <c:pt idx="112">
                  <c:v>134.89628825916537</c:v>
                </c:pt>
                <c:pt idx="113">
                  <c:v>138.0384264602886</c:v>
                </c:pt>
                <c:pt idx="114">
                  <c:v>141.25375446227542</c:v>
                </c:pt>
                <c:pt idx="115">
                  <c:v>144.54397707459285</c:v>
                </c:pt>
                <c:pt idx="116">
                  <c:v>147.91083881682084</c:v>
                </c:pt>
                <c:pt idx="117">
                  <c:v>151.3561248436209</c:v>
                </c:pt>
                <c:pt idx="118">
                  <c:v>154.8816618912482</c:v>
                </c:pt>
                <c:pt idx="119">
                  <c:v>158.48931924611153</c:v>
                </c:pt>
                <c:pt idx="120">
                  <c:v>162.18100973589304</c:v>
                </c:pt>
                <c:pt idx="121">
                  <c:v>165.95869074375622</c:v>
                </c:pt>
                <c:pt idx="122">
                  <c:v>169.82436524617444</c:v>
                </c:pt>
                <c:pt idx="123">
                  <c:v>173.78008287493768</c:v>
                </c:pt>
                <c:pt idx="124">
                  <c:v>177.82794100389242</c:v>
                </c:pt>
                <c:pt idx="125">
                  <c:v>181.9700858609983</c:v>
                </c:pt>
                <c:pt idx="126">
                  <c:v>186.20871366628685</c:v>
                </c:pt>
                <c:pt idx="127">
                  <c:v>190.54607179632498</c:v>
                </c:pt>
                <c:pt idx="128">
                  <c:v>194.98445997580458</c:v>
                </c:pt>
                <c:pt idx="129">
                  <c:v>199.52623149688802</c:v>
                </c:pt>
                <c:pt idx="130">
                  <c:v>204.17379446695315</c:v>
                </c:pt>
                <c:pt idx="131">
                  <c:v>208.92961308540396</c:v>
                </c:pt>
                <c:pt idx="132">
                  <c:v>213.79620895022339</c:v>
                </c:pt>
                <c:pt idx="133">
                  <c:v>218.77616239495524</c:v>
                </c:pt>
                <c:pt idx="134">
                  <c:v>223.87211385683412</c:v>
                </c:pt>
                <c:pt idx="135">
                  <c:v>229.08676527677744</c:v>
                </c:pt>
                <c:pt idx="136">
                  <c:v>234.42288153199232</c:v>
                </c:pt>
                <c:pt idx="137">
                  <c:v>239.88329190194912</c:v>
                </c:pt>
                <c:pt idx="138">
                  <c:v>245.4708915685033</c:v>
                </c:pt>
                <c:pt idx="139">
                  <c:v>251.18864315095806</c:v>
                </c:pt>
                <c:pt idx="140">
                  <c:v>257.03957827688663</c:v>
                </c:pt>
                <c:pt idx="141">
                  <c:v>263.02679918953817</c:v>
                </c:pt>
                <c:pt idx="142">
                  <c:v>269.15348039269179</c:v>
                </c:pt>
                <c:pt idx="143">
                  <c:v>275.42287033381683</c:v>
                </c:pt>
                <c:pt idx="144">
                  <c:v>281.83829312644554</c:v>
                </c:pt>
                <c:pt idx="145">
                  <c:v>288.40315031266073</c:v>
                </c:pt>
                <c:pt idx="146">
                  <c:v>295.12092266663871</c:v>
                </c:pt>
                <c:pt idx="147">
                  <c:v>301.99517204020168</c:v>
                </c:pt>
                <c:pt idx="148">
                  <c:v>309.02954325135937</c:v>
                </c:pt>
                <c:pt idx="149">
                  <c:v>316.22776601683825</c:v>
                </c:pt>
                <c:pt idx="150">
                  <c:v>323.59365692962825</c:v>
                </c:pt>
                <c:pt idx="151">
                  <c:v>331.13112148259137</c:v>
                </c:pt>
                <c:pt idx="152">
                  <c:v>338.84415613920277</c:v>
                </c:pt>
                <c:pt idx="153">
                  <c:v>346.73685045253183</c:v>
                </c:pt>
                <c:pt idx="154">
                  <c:v>354.81338923357566</c:v>
                </c:pt>
                <c:pt idx="155">
                  <c:v>363.07805477010152</c:v>
                </c:pt>
                <c:pt idx="156">
                  <c:v>371.53522909717265</c:v>
                </c:pt>
                <c:pt idx="157">
                  <c:v>380.18939632056163</c:v>
                </c:pt>
                <c:pt idx="158">
                  <c:v>389.04514499428063</c:v>
                </c:pt>
                <c:pt idx="159">
                  <c:v>398.10717055349761</c:v>
                </c:pt>
                <c:pt idx="160">
                  <c:v>407.38027780411272</c:v>
                </c:pt>
                <c:pt idx="161">
                  <c:v>416.86938347033572</c:v>
                </c:pt>
                <c:pt idx="162">
                  <c:v>426.57951880159294</c:v>
                </c:pt>
                <c:pt idx="163">
                  <c:v>436.51583224016622</c:v>
                </c:pt>
                <c:pt idx="164">
                  <c:v>446.68359215096331</c:v>
                </c:pt>
                <c:pt idx="165">
                  <c:v>457.0881896148756</c:v>
                </c:pt>
                <c:pt idx="166">
                  <c:v>467.7351412871983</c:v>
                </c:pt>
                <c:pt idx="167">
                  <c:v>478.63009232263886</c:v>
                </c:pt>
                <c:pt idx="168">
                  <c:v>489.77881936844625</c:v>
                </c:pt>
                <c:pt idx="169">
                  <c:v>501.18723362727269</c:v>
                </c:pt>
                <c:pt idx="170">
                  <c:v>512.86138399136519</c:v>
                </c:pt>
                <c:pt idx="171">
                  <c:v>524.80746024977248</c:v>
                </c:pt>
                <c:pt idx="172">
                  <c:v>537.03179637025301</c:v>
                </c:pt>
                <c:pt idx="173">
                  <c:v>549.54087385762534</c:v>
                </c:pt>
                <c:pt idx="174">
                  <c:v>562.34132519034927</c:v>
                </c:pt>
                <c:pt idx="175">
                  <c:v>575.43993733715706</c:v>
                </c:pt>
                <c:pt idx="176">
                  <c:v>588.84365535558959</c:v>
                </c:pt>
                <c:pt idx="177">
                  <c:v>602.55958607435832</c:v>
                </c:pt>
                <c:pt idx="178">
                  <c:v>616.59500186148273</c:v>
                </c:pt>
                <c:pt idx="179">
                  <c:v>630.95734448019323</c:v>
                </c:pt>
                <c:pt idx="180">
                  <c:v>645.65422903465594</c:v>
                </c:pt>
                <c:pt idx="181">
                  <c:v>660.69344800759643</c:v>
                </c:pt>
                <c:pt idx="182">
                  <c:v>676.08297539198213</c:v>
                </c:pt>
                <c:pt idx="183">
                  <c:v>691.83097091893671</c:v>
                </c:pt>
                <c:pt idx="184">
                  <c:v>707.94578438413873</c:v>
                </c:pt>
                <c:pt idx="185">
                  <c:v>724.43596007499025</c:v>
                </c:pt>
                <c:pt idx="186">
                  <c:v>741.31024130091828</c:v>
                </c:pt>
                <c:pt idx="187">
                  <c:v>758.57757502918378</c:v>
                </c:pt>
                <c:pt idx="188">
                  <c:v>776.24711662869231</c:v>
                </c:pt>
                <c:pt idx="189">
                  <c:v>794.32823472428208</c:v>
                </c:pt>
                <c:pt idx="190">
                  <c:v>812.83051616409978</c:v>
                </c:pt>
                <c:pt idx="191">
                  <c:v>831.7637711026714</c:v>
                </c:pt>
                <c:pt idx="192">
                  <c:v>851.13803820237763</c:v>
                </c:pt>
                <c:pt idx="193">
                  <c:v>870.96358995608091</c:v>
                </c:pt>
                <c:pt idx="194">
                  <c:v>891.25093813374656</c:v>
                </c:pt>
                <c:pt idx="195">
                  <c:v>912.01083935590987</c:v>
                </c:pt>
                <c:pt idx="196">
                  <c:v>933.25430079699106</c:v>
                </c:pt>
                <c:pt idx="197">
                  <c:v>954.99258602143675</c:v>
                </c:pt>
                <c:pt idx="198">
                  <c:v>977.23722095581138</c:v>
                </c:pt>
                <c:pt idx="199">
                  <c:v>1000</c:v>
                </c:pt>
                <c:pt idx="200">
                  <c:v>1023.2929922807547</c:v>
                </c:pt>
                <c:pt idx="201">
                  <c:v>1047.1285480509</c:v>
                </c:pt>
                <c:pt idx="202">
                  <c:v>1071.5193052376069</c:v>
                </c:pt>
                <c:pt idx="203">
                  <c:v>1096.4781961431863</c:v>
                </c:pt>
                <c:pt idx="204">
                  <c:v>1122.0184543019636</c:v>
                </c:pt>
                <c:pt idx="205">
                  <c:v>1148.1536214968839</c:v>
                </c:pt>
                <c:pt idx="206">
                  <c:v>1174.8975549395295</c:v>
                </c:pt>
                <c:pt idx="207">
                  <c:v>1202.2644346174138</c:v>
                </c:pt>
                <c:pt idx="208">
                  <c:v>1230.2687708123824</c:v>
                </c:pt>
                <c:pt idx="209">
                  <c:v>1258.925411794168</c:v>
                </c:pt>
                <c:pt idx="210">
                  <c:v>1288.2495516931347</c:v>
                </c:pt>
                <c:pt idx="211">
                  <c:v>1318.2567385564089</c:v>
                </c:pt>
                <c:pt idx="212">
                  <c:v>1348.9628825916541</c:v>
                </c:pt>
                <c:pt idx="213">
                  <c:v>1380.3842646028863</c:v>
                </c:pt>
                <c:pt idx="214">
                  <c:v>1412.5375446227545</c:v>
                </c:pt>
                <c:pt idx="215">
                  <c:v>1445.4397707459289</c:v>
                </c:pt>
                <c:pt idx="216">
                  <c:v>1479.1083881682086</c:v>
                </c:pt>
                <c:pt idx="217">
                  <c:v>1513.5612484362093</c:v>
                </c:pt>
                <c:pt idx="218">
                  <c:v>1548.8166189124822</c:v>
                </c:pt>
                <c:pt idx="219">
                  <c:v>1584.8931924611156</c:v>
                </c:pt>
                <c:pt idx="220">
                  <c:v>1621.8100973589308</c:v>
                </c:pt>
                <c:pt idx="221">
                  <c:v>1659.5869074375626</c:v>
                </c:pt>
                <c:pt idx="222">
                  <c:v>1698.2436524617447</c:v>
                </c:pt>
                <c:pt idx="223">
                  <c:v>1737.8008287493772</c:v>
                </c:pt>
                <c:pt idx="224">
                  <c:v>1778.2794100389244</c:v>
                </c:pt>
                <c:pt idx="225">
                  <c:v>1819.7008586099832</c:v>
                </c:pt>
                <c:pt idx="226">
                  <c:v>1862.0871366628687</c:v>
                </c:pt>
                <c:pt idx="227">
                  <c:v>1905.4607179632501</c:v>
                </c:pt>
                <c:pt idx="228">
                  <c:v>1949.8445997580463</c:v>
                </c:pt>
                <c:pt idx="229">
                  <c:v>1995.2623149688804</c:v>
                </c:pt>
                <c:pt idx="230">
                  <c:v>2041.7379446695318</c:v>
                </c:pt>
                <c:pt idx="231">
                  <c:v>2089.2961308540398</c:v>
                </c:pt>
                <c:pt idx="232">
                  <c:v>2137.9620895022344</c:v>
                </c:pt>
                <c:pt idx="233">
                  <c:v>2187.7616239495528</c:v>
                </c:pt>
                <c:pt idx="234">
                  <c:v>2238.7211385683418</c:v>
                </c:pt>
                <c:pt idx="235">
                  <c:v>2290.8676527677749</c:v>
                </c:pt>
                <c:pt idx="236">
                  <c:v>2344.2288153199238</c:v>
                </c:pt>
                <c:pt idx="237">
                  <c:v>2398.8329190194918</c:v>
                </c:pt>
                <c:pt idx="238">
                  <c:v>2454.7089156850338</c:v>
                </c:pt>
                <c:pt idx="239">
                  <c:v>2511.8864315095811</c:v>
                </c:pt>
                <c:pt idx="240">
                  <c:v>2570.3957827688669</c:v>
                </c:pt>
                <c:pt idx="241">
                  <c:v>2630.2679918953822</c:v>
                </c:pt>
                <c:pt idx="242">
                  <c:v>2691.5348039269184</c:v>
                </c:pt>
                <c:pt idx="243">
                  <c:v>2754.228703338169</c:v>
                </c:pt>
                <c:pt idx="244">
                  <c:v>2818.3829312644561</c:v>
                </c:pt>
                <c:pt idx="245">
                  <c:v>2884.0315031266077</c:v>
                </c:pt>
                <c:pt idx="246">
                  <c:v>2951.2092266663876</c:v>
                </c:pt>
                <c:pt idx="247">
                  <c:v>3019.9517204020176</c:v>
                </c:pt>
                <c:pt idx="248">
                  <c:v>3090.295432513592</c:v>
                </c:pt>
                <c:pt idx="249">
                  <c:v>3162.2776601683804</c:v>
                </c:pt>
                <c:pt idx="250">
                  <c:v>3235.9365692962833</c:v>
                </c:pt>
                <c:pt idx="251">
                  <c:v>3311.3112148259115</c:v>
                </c:pt>
                <c:pt idx="252">
                  <c:v>3388.4415613920314</c:v>
                </c:pt>
                <c:pt idx="253">
                  <c:v>3467.3685045253224</c:v>
                </c:pt>
                <c:pt idx="254">
                  <c:v>3548.1338923357539</c:v>
                </c:pt>
                <c:pt idx="255">
                  <c:v>3630.7805477010188</c:v>
                </c:pt>
                <c:pt idx="256">
                  <c:v>3715.352290971724</c:v>
                </c:pt>
                <c:pt idx="257">
                  <c:v>3801.8939632056172</c:v>
                </c:pt>
                <c:pt idx="258">
                  <c:v>3890.451449942811</c:v>
                </c:pt>
                <c:pt idx="259">
                  <c:v>3981.0717055349769</c:v>
                </c:pt>
                <c:pt idx="260">
                  <c:v>4073.8027780411317</c:v>
                </c:pt>
                <c:pt idx="261">
                  <c:v>4168.6938347033583</c:v>
                </c:pt>
                <c:pt idx="262">
                  <c:v>4265.7951880159299</c:v>
                </c:pt>
                <c:pt idx="263">
                  <c:v>4365.1583224016631</c:v>
                </c:pt>
                <c:pt idx="264">
                  <c:v>4466.8359215096343</c:v>
                </c:pt>
                <c:pt idx="265">
                  <c:v>4570.8818961487532</c:v>
                </c:pt>
                <c:pt idx="266">
                  <c:v>4677.3514128719844</c:v>
                </c:pt>
                <c:pt idx="267">
                  <c:v>4786.3009232263848</c:v>
                </c:pt>
                <c:pt idx="268">
                  <c:v>4897.7881936844633</c:v>
                </c:pt>
                <c:pt idx="269">
                  <c:v>5011.8723362727324</c:v>
                </c:pt>
                <c:pt idx="270">
                  <c:v>5128.6138399136489</c:v>
                </c:pt>
                <c:pt idx="271">
                  <c:v>5248.0746024977261</c:v>
                </c:pt>
                <c:pt idx="272">
                  <c:v>5370.3179637025269</c:v>
                </c:pt>
                <c:pt idx="273">
                  <c:v>5495.4087385762541</c:v>
                </c:pt>
                <c:pt idx="274">
                  <c:v>5623.4132519034993</c:v>
                </c:pt>
                <c:pt idx="275">
                  <c:v>5754.399373371567</c:v>
                </c:pt>
                <c:pt idx="276">
                  <c:v>5888.4365535558973</c:v>
                </c:pt>
                <c:pt idx="277">
                  <c:v>6025.595860743585</c:v>
                </c:pt>
                <c:pt idx="278">
                  <c:v>6165.9500186148289</c:v>
                </c:pt>
                <c:pt idx="279">
                  <c:v>6309.5734448019384</c:v>
                </c:pt>
                <c:pt idx="280">
                  <c:v>6456.5422903465615</c:v>
                </c:pt>
                <c:pt idx="281">
                  <c:v>6606.9344800759654</c:v>
                </c:pt>
                <c:pt idx="282">
                  <c:v>6760.8297539198229</c:v>
                </c:pt>
                <c:pt idx="283">
                  <c:v>6918.3097091893687</c:v>
                </c:pt>
                <c:pt idx="284">
                  <c:v>7079.4578438413828</c:v>
                </c:pt>
                <c:pt idx="285">
                  <c:v>7244.3596007499036</c:v>
                </c:pt>
                <c:pt idx="286">
                  <c:v>7413.1024130091773</c:v>
                </c:pt>
                <c:pt idx="287">
                  <c:v>7585.7757502918394</c:v>
                </c:pt>
                <c:pt idx="288">
                  <c:v>7762.4711662869322</c:v>
                </c:pt>
                <c:pt idx="289">
                  <c:v>7943.2823472428154</c:v>
                </c:pt>
                <c:pt idx="290">
                  <c:v>8128.3051616410066</c:v>
                </c:pt>
                <c:pt idx="291">
                  <c:v>8317.6377110267094</c:v>
                </c:pt>
                <c:pt idx="292">
                  <c:v>8511.3803820237772</c:v>
                </c:pt>
                <c:pt idx="293">
                  <c:v>8709.6358995608189</c:v>
                </c:pt>
                <c:pt idx="294">
                  <c:v>8912.5093813374679</c:v>
                </c:pt>
                <c:pt idx="295">
                  <c:v>9120.1083935591087</c:v>
                </c:pt>
                <c:pt idx="296">
                  <c:v>9332.5430079699217</c:v>
                </c:pt>
                <c:pt idx="297">
                  <c:v>9549.9258602143691</c:v>
                </c:pt>
                <c:pt idx="298">
                  <c:v>9772.3722095581161</c:v>
                </c:pt>
                <c:pt idx="299">
                  <c:v>10000</c:v>
                </c:pt>
                <c:pt idx="300">
                  <c:v>10232.929922807549</c:v>
                </c:pt>
                <c:pt idx="301">
                  <c:v>10471.285480509003</c:v>
                </c:pt>
                <c:pt idx="302">
                  <c:v>10715.193052376071</c:v>
                </c:pt>
                <c:pt idx="303">
                  <c:v>10964.781961431856</c:v>
                </c:pt>
                <c:pt idx="304">
                  <c:v>11220.184543019639</c:v>
                </c:pt>
                <c:pt idx="305">
                  <c:v>11481.536214968832</c:v>
                </c:pt>
                <c:pt idx="306">
                  <c:v>11748.975549395318</c:v>
                </c:pt>
                <c:pt idx="307">
                  <c:v>12022.644346174151</c:v>
                </c:pt>
                <c:pt idx="308">
                  <c:v>12302.687708123816</c:v>
                </c:pt>
                <c:pt idx="309">
                  <c:v>12589.254117941671</c:v>
                </c:pt>
                <c:pt idx="310">
                  <c:v>12882.49551693136</c:v>
                </c:pt>
                <c:pt idx="311">
                  <c:v>13182.567385564091</c:v>
                </c:pt>
                <c:pt idx="312">
                  <c:v>13489.628825916556</c:v>
                </c:pt>
                <c:pt idx="313">
                  <c:v>13803.842646028841</c:v>
                </c:pt>
                <c:pt idx="314">
                  <c:v>14125.375446227561</c:v>
                </c:pt>
                <c:pt idx="315">
                  <c:v>14454.397707459291</c:v>
                </c:pt>
                <c:pt idx="316">
                  <c:v>14791.083881682089</c:v>
                </c:pt>
                <c:pt idx="317">
                  <c:v>15135.612484362096</c:v>
                </c:pt>
                <c:pt idx="318">
                  <c:v>15488.166189124853</c:v>
                </c:pt>
                <c:pt idx="319">
                  <c:v>15848.931924611146</c:v>
                </c:pt>
                <c:pt idx="320">
                  <c:v>16218.100973589309</c:v>
                </c:pt>
                <c:pt idx="321">
                  <c:v>16595.869074375616</c:v>
                </c:pt>
                <c:pt idx="322">
                  <c:v>16982.436524617482</c:v>
                </c:pt>
                <c:pt idx="323">
                  <c:v>17378.008287493791</c:v>
                </c:pt>
                <c:pt idx="324">
                  <c:v>17782.794100389234</c:v>
                </c:pt>
                <c:pt idx="325">
                  <c:v>18197.008586099837</c:v>
                </c:pt>
                <c:pt idx="326">
                  <c:v>18620.871366628675</c:v>
                </c:pt>
                <c:pt idx="327">
                  <c:v>19054.607179632505</c:v>
                </c:pt>
                <c:pt idx="328">
                  <c:v>19498.445997580486</c:v>
                </c:pt>
                <c:pt idx="329">
                  <c:v>19952.623149688792</c:v>
                </c:pt>
                <c:pt idx="330">
                  <c:v>20417.379446695286</c:v>
                </c:pt>
                <c:pt idx="331">
                  <c:v>20892.961308540423</c:v>
                </c:pt>
                <c:pt idx="332">
                  <c:v>21379.620895022348</c:v>
                </c:pt>
                <c:pt idx="333">
                  <c:v>21877.61623949555</c:v>
                </c:pt>
                <c:pt idx="334">
                  <c:v>22387.211385683382</c:v>
                </c:pt>
                <c:pt idx="335">
                  <c:v>22908.676527677751</c:v>
                </c:pt>
                <c:pt idx="336">
                  <c:v>23442.288153199243</c:v>
                </c:pt>
                <c:pt idx="337">
                  <c:v>23988.329190194923</c:v>
                </c:pt>
                <c:pt idx="338">
                  <c:v>24547.089156850321</c:v>
                </c:pt>
                <c:pt idx="339">
                  <c:v>25118.86431509586</c:v>
                </c:pt>
                <c:pt idx="340">
                  <c:v>25703.95782768865</c:v>
                </c:pt>
                <c:pt idx="341">
                  <c:v>26302.679918953829</c:v>
                </c:pt>
                <c:pt idx="342">
                  <c:v>26915.348039269167</c:v>
                </c:pt>
                <c:pt idx="343">
                  <c:v>27542.287033381719</c:v>
                </c:pt>
                <c:pt idx="344">
                  <c:v>28183.829312644593</c:v>
                </c:pt>
                <c:pt idx="345">
                  <c:v>28840.315031266062</c:v>
                </c:pt>
                <c:pt idx="346">
                  <c:v>29512.092266663854</c:v>
                </c:pt>
                <c:pt idx="347">
                  <c:v>30199.517204020212</c:v>
                </c:pt>
                <c:pt idx="348">
                  <c:v>30902.954325135954</c:v>
                </c:pt>
                <c:pt idx="349">
                  <c:v>31622.77660168384</c:v>
                </c:pt>
                <c:pt idx="350">
                  <c:v>32359.365692962871</c:v>
                </c:pt>
                <c:pt idx="351">
                  <c:v>33113.11214825909</c:v>
                </c:pt>
                <c:pt idx="352">
                  <c:v>33884.41561392029</c:v>
                </c:pt>
                <c:pt idx="353">
                  <c:v>34673.685045253202</c:v>
                </c:pt>
                <c:pt idx="354">
                  <c:v>35481.33892335758</c:v>
                </c:pt>
                <c:pt idx="355">
                  <c:v>36307.805477010232</c:v>
                </c:pt>
                <c:pt idx="356">
                  <c:v>37153.522909717351</c:v>
                </c:pt>
                <c:pt idx="357">
                  <c:v>38018.939632056143</c:v>
                </c:pt>
                <c:pt idx="358">
                  <c:v>38904.514499428085</c:v>
                </c:pt>
                <c:pt idx="359">
                  <c:v>39810.717055349742</c:v>
                </c:pt>
                <c:pt idx="360">
                  <c:v>40738.027780411358</c:v>
                </c:pt>
                <c:pt idx="361">
                  <c:v>41686.938347033625</c:v>
                </c:pt>
                <c:pt idx="362">
                  <c:v>42657.951880159271</c:v>
                </c:pt>
                <c:pt idx="363">
                  <c:v>43651.583224016598</c:v>
                </c:pt>
                <c:pt idx="364">
                  <c:v>44668.359215096389</c:v>
                </c:pt>
                <c:pt idx="365">
                  <c:v>45708.818961487581</c:v>
                </c:pt>
                <c:pt idx="366">
                  <c:v>46773.514128719893</c:v>
                </c:pt>
                <c:pt idx="367">
                  <c:v>47863.009232263823</c:v>
                </c:pt>
                <c:pt idx="368">
                  <c:v>48977.881936844598</c:v>
                </c:pt>
                <c:pt idx="369">
                  <c:v>50118.723362727294</c:v>
                </c:pt>
                <c:pt idx="370">
                  <c:v>51286.138399136544</c:v>
                </c:pt>
                <c:pt idx="371">
                  <c:v>52480.746024977314</c:v>
                </c:pt>
                <c:pt idx="372">
                  <c:v>53703.179637025423</c:v>
                </c:pt>
                <c:pt idx="373">
                  <c:v>54954.087385762505</c:v>
                </c:pt>
                <c:pt idx="374">
                  <c:v>56234.132519034953</c:v>
                </c:pt>
                <c:pt idx="375">
                  <c:v>57543.993733715732</c:v>
                </c:pt>
                <c:pt idx="376">
                  <c:v>58884.365535558936</c:v>
                </c:pt>
                <c:pt idx="377">
                  <c:v>60255.95860743591</c:v>
                </c:pt>
                <c:pt idx="378">
                  <c:v>61659.500186148245</c:v>
                </c:pt>
                <c:pt idx="379">
                  <c:v>63095.734448019342</c:v>
                </c:pt>
                <c:pt idx="380">
                  <c:v>64565.422903465682</c:v>
                </c:pt>
                <c:pt idx="381">
                  <c:v>66069.344800759733</c:v>
                </c:pt>
                <c:pt idx="382">
                  <c:v>67608.297539198305</c:v>
                </c:pt>
                <c:pt idx="383">
                  <c:v>69183.097091893651</c:v>
                </c:pt>
                <c:pt idx="384">
                  <c:v>70794.578438413781</c:v>
                </c:pt>
                <c:pt idx="385">
                  <c:v>72443.596007499116</c:v>
                </c:pt>
                <c:pt idx="386">
                  <c:v>74131.024130091857</c:v>
                </c:pt>
                <c:pt idx="387">
                  <c:v>75857.757502918481</c:v>
                </c:pt>
                <c:pt idx="388">
                  <c:v>77624.711662869129</c:v>
                </c:pt>
                <c:pt idx="389">
                  <c:v>79432.823472428237</c:v>
                </c:pt>
                <c:pt idx="390">
                  <c:v>81283.051616410012</c:v>
                </c:pt>
                <c:pt idx="391">
                  <c:v>83176.377110267174</c:v>
                </c:pt>
                <c:pt idx="392">
                  <c:v>85113.803820237721</c:v>
                </c:pt>
                <c:pt idx="393">
                  <c:v>87096.358995608127</c:v>
                </c:pt>
                <c:pt idx="394">
                  <c:v>89125.093813374609</c:v>
                </c:pt>
                <c:pt idx="395">
                  <c:v>91201.083935591028</c:v>
                </c:pt>
                <c:pt idx="396">
                  <c:v>93325.430079699145</c:v>
                </c:pt>
                <c:pt idx="397">
                  <c:v>95499.258602143804</c:v>
                </c:pt>
                <c:pt idx="398">
                  <c:v>97723.722095581266</c:v>
                </c:pt>
                <c:pt idx="399">
                  <c:v>100000</c:v>
                </c:pt>
                <c:pt idx="400">
                  <c:v>102329.29922807543</c:v>
                </c:pt>
                <c:pt idx="401">
                  <c:v>104712.85480508996</c:v>
                </c:pt>
                <c:pt idx="402">
                  <c:v>107151.93052376082</c:v>
                </c:pt>
                <c:pt idx="403">
                  <c:v>109647.81961431868</c:v>
                </c:pt>
                <c:pt idx="404">
                  <c:v>112201.84543019651</c:v>
                </c:pt>
                <c:pt idx="405">
                  <c:v>114815.36214968823</c:v>
                </c:pt>
                <c:pt idx="406">
                  <c:v>117489.75549395311</c:v>
                </c:pt>
                <c:pt idx="407">
                  <c:v>120226.44346174144</c:v>
                </c:pt>
                <c:pt idx="408">
                  <c:v>123026.87708123829</c:v>
                </c:pt>
                <c:pt idx="409">
                  <c:v>125892.54117941685</c:v>
                </c:pt>
                <c:pt idx="410">
                  <c:v>128824.95516931375</c:v>
                </c:pt>
                <c:pt idx="411">
                  <c:v>131825.67385564081</c:v>
                </c:pt>
                <c:pt idx="412">
                  <c:v>134896.28825916545</c:v>
                </c:pt>
                <c:pt idx="413">
                  <c:v>138038.42646028858</c:v>
                </c:pt>
                <c:pt idx="414">
                  <c:v>141253.75446227577</c:v>
                </c:pt>
                <c:pt idx="415">
                  <c:v>144543.97707459307</c:v>
                </c:pt>
                <c:pt idx="416">
                  <c:v>147910.83881682079</c:v>
                </c:pt>
                <c:pt idx="417">
                  <c:v>151356.12484362084</c:v>
                </c:pt>
                <c:pt idx="418">
                  <c:v>154881.66189124843</c:v>
                </c:pt>
                <c:pt idx="419">
                  <c:v>158489.31924611164</c:v>
                </c:pt>
                <c:pt idx="420">
                  <c:v>162181.00973589328</c:v>
                </c:pt>
                <c:pt idx="421">
                  <c:v>165958.69074375604</c:v>
                </c:pt>
                <c:pt idx="422">
                  <c:v>169824.36524617471</c:v>
                </c:pt>
                <c:pt idx="423">
                  <c:v>173780.0828749378</c:v>
                </c:pt>
                <c:pt idx="424">
                  <c:v>177827.94100389251</c:v>
                </c:pt>
                <c:pt idx="425">
                  <c:v>181970.08586099857</c:v>
                </c:pt>
                <c:pt idx="426">
                  <c:v>186208.71366628664</c:v>
                </c:pt>
                <c:pt idx="427">
                  <c:v>190546.07179632492</c:v>
                </c:pt>
                <c:pt idx="428">
                  <c:v>194984.45997580473</c:v>
                </c:pt>
                <c:pt idx="429">
                  <c:v>199526.23149688813</c:v>
                </c:pt>
                <c:pt idx="430">
                  <c:v>204173.79446695308</c:v>
                </c:pt>
                <c:pt idx="431">
                  <c:v>208929.61308540447</c:v>
                </c:pt>
                <c:pt idx="432">
                  <c:v>213796.20895022334</c:v>
                </c:pt>
                <c:pt idx="433">
                  <c:v>218776.16239495538</c:v>
                </c:pt>
                <c:pt idx="434">
                  <c:v>223872.11385683404</c:v>
                </c:pt>
                <c:pt idx="435">
                  <c:v>229086.76527677779</c:v>
                </c:pt>
                <c:pt idx="436">
                  <c:v>234422.88153199267</c:v>
                </c:pt>
                <c:pt idx="437">
                  <c:v>239883.29190194907</c:v>
                </c:pt>
                <c:pt idx="438">
                  <c:v>245470.89156850305</c:v>
                </c:pt>
                <c:pt idx="439">
                  <c:v>251188.64315095844</c:v>
                </c:pt>
                <c:pt idx="440">
                  <c:v>257039.57827688678</c:v>
                </c:pt>
                <c:pt idx="441">
                  <c:v>263026.79918953858</c:v>
                </c:pt>
                <c:pt idx="442">
                  <c:v>269153.48039269145</c:v>
                </c:pt>
                <c:pt idx="443">
                  <c:v>275422.87033381703</c:v>
                </c:pt>
                <c:pt idx="444">
                  <c:v>281838.29312644573</c:v>
                </c:pt>
                <c:pt idx="445">
                  <c:v>288403.1503126609</c:v>
                </c:pt>
                <c:pt idx="446">
                  <c:v>295120.92266663886</c:v>
                </c:pt>
                <c:pt idx="447">
                  <c:v>301995.17204020242</c:v>
                </c:pt>
                <c:pt idx="448">
                  <c:v>309029.54325135931</c:v>
                </c:pt>
                <c:pt idx="449">
                  <c:v>316227.7660168382</c:v>
                </c:pt>
                <c:pt idx="450">
                  <c:v>323593.65692962846</c:v>
                </c:pt>
                <c:pt idx="451">
                  <c:v>331131.12148259126</c:v>
                </c:pt>
                <c:pt idx="452">
                  <c:v>338844.15613920329</c:v>
                </c:pt>
                <c:pt idx="453">
                  <c:v>346736.85045253241</c:v>
                </c:pt>
                <c:pt idx="454">
                  <c:v>354813.38923357555</c:v>
                </c:pt>
                <c:pt idx="455">
                  <c:v>363078.05477010203</c:v>
                </c:pt>
                <c:pt idx="456">
                  <c:v>371535.2290971732</c:v>
                </c:pt>
                <c:pt idx="457">
                  <c:v>380189.39632056188</c:v>
                </c:pt>
                <c:pt idx="458">
                  <c:v>389045.14499428123</c:v>
                </c:pt>
                <c:pt idx="459">
                  <c:v>398107.17055349716</c:v>
                </c:pt>
                <c:pt idx="460">
                  <c:v>407380.27780411334</c:v>
                </c:pt>
                <c:pt idx="461">
                  <c:v>416869.38347033598</c:v>
                </c:pt>
                <c:pt idx="462">
                  <c:v>426579.51880159322</c:v>
                </c:pt>
                <c:pt idx="463">
                  <c:v>436515.83224016649</c:v>
                </c:pt>
                <c:pt idx="464">
                  <c:v>446683.59215096442</c:v>
                </c:pt>
                <c:pt idx="465">
                  <c:v>457088.18961487547</c:v>
                </c:pt>
                <c:pt idx="466">
                  <c:v>467735.14128719864</c:v>
                </c:pt>
                <c:pt idx="467">
                  <c:v>478630.09232263872</c:v>
                </c:pt>
                <c:pt idx="468">
                  <c:v>489778.81936844654</c:v>
                </c:pt>
                <c:pt idx="469">
                  <c:v>501187.23362727347</c:v>
                </c:pt>
                <c:pt idx="470">
                  <c:v>512861.38399136515</c:v>
                </c:pt>
                <c:pt idx="471">
                  <c:v>524807.46024977288</c:v>
                </c:pt>
                <c:pt idx="472">
                  <c:v>537031.7963702539</c:v>
                </c:pt>
                <c:pt idx="473">
                  <c:v>549540.87385762564</c:v>
                </c:pt>
                <c:pt idx="474">
                  <c:v>562341.32519035018</c:v>
                </c:pt>
                <c:pt idx="475">
                  <c:v>575439.93733715697</c:v>
                </c:pt>
                <c:pt idx="476">
                  <c:v>588843.65535558888</c:v>
                </c:pt>
                <c:pt idx="477">
                  <c:v>602559.58607435878</c:v>
                </c:pt>
                <c:pt idx="478">
                  <c:v>616595.00186148309</c:v>
                </c:pt>
                <c:pt idx="479">
                  <c:v>630957.34448019415</c:v>
                </c:pt>
                <c:pt idx="480">
                  <c:v>645654.22903465747</c:v>
                </c:pt>
                <c:pt idx="481">
                  <c:v>660693.44800759677</c:v>
                </c:pt>
                <c:pt idx="482">
                  <c:v>676082.97539198259</c:v>
                </c:pt>
                <c:pt idx="483">
                  <c:v>691830.97091893724</c:v>
                </c:pt>
                <c:pt idx="484">
                  <c:v>707945.78438413853</c:v>
                </c:pt>
                <c:pt idx="485">
                  <c:v>724435.96007499192</c:v>
                </c:pt>
                <c:pt idx="486">
                  <c:v>741310.24130091805</c:v>
                </c:pt>
                <c:pt idx="487">
                  <c:v>758577.57502918423</c:v>
                </c:pt>
                <c:pt idx="488">
                  <c:v>776247.11662869214</c:v>
                </c:pt>
                <c:pt idx="489">
                  <c:v>794328.23472428333</c:v>
                </c:pt>
                <c:pt idx="490">
                  <c:v>812830.51616410096</c:v>
                </c:pt>
                <c:pt idx="491">
                  <c:v>831763.77110267128</c:v>
                </c:pt>
                <c:pt idx="492">
                  <c:v>851138.03820237669</c:v>
                </c:pt>
                <c:pt idx="493">
                  <c:v>870963.58995608077</c:v>
                </c:pt>
                <c:pt idx="494">
                  <c:v>891250.93813374708</c:v>
                </c:pt>
                <c:pt idx="495">
                  <c:v>912010.83935591124</c:v>
                </c:pt>
                <c:pt idx="496">
                  <c:v>933254.30079699249</c:v>
                </c:pt>
                <c:pt idx="497">
                  <c:v>954992.58602143743</c:v>
                </c:pt>
                <c:pt idx="498">
                  <c:v>977237.22095581202</c:v>
                </c:pt>
                <c:pt idx="499">
                  <c:v>1000000</c:v>
                </c:pt>
                <c:pt idx="500">
                  <c:v>1023292.9922807553</c:v>
                </c:pt>
                <c:pt idx="501">
                  <c:v>1047128.5480509007</c:v>
                </c:pt>
                <c:pt idx="502">
                  <c:v>1071519.3052376076</c:v>
                </c:pt>
                <c:pt idx="503">
                  <c:v>1096478.196143186</c:v>
                </c:pt>
                <c:pt idx="504">
                  <c:v>1122018.4543019643</c:v>
                </c:pt>
                <c:pt idx="505">
                  <c:v>1148153.6214968837</c:v>
                </c:pt>
                <c:pt idx="506">
                  <c:v>1174897.5549395324</c:v>
                </c:pt>
                <c:pt idx="507">
                  <c:v>1202264.4346174158</c:v>
                </c:pt>
                <c:pt idx="508">
                  <c:v>1230268.770812382</c:v>
                </c:pt>
                <c:pt idx="509">
                  <c:v>1258925.4117941677</c:v>
                </c:pt>
                <c:pt idx="510">
                  <c:v>1288249.5516931366</c:v>
                </c:pt>
                <c:pt idx="511">
                  <c:v>1318256.7385564097</c:v>
                </c:pt>
                <c:pt idx="512">
                  <c:v>1348962.8825916562</c:v>
                </c:pt>
                <c:pt idx="513">
                  <c:v>1380384.2646028849</c:v>
                </c:pt>
                <c:pt idx="514">
                  <c:v>1412537.5446227565</c:v>
                </c:pt>
                <c:pt idx="515">
                  <c:v>1445439.7707459298</c:v>
                </c:pt>
                <c:pt idx="516">
                  <c:v>1479108.3881682095</c:v>
                </c:pt>
                <c:pt idx="517">
                  <c:v>1513561.2484362102</c:v>
                </c:pt>
                <c:pt idx="518">
                  <c:v>1548816.6189124861</c:v>
                </c:pt>
                <c:pt idx="519">
                  <c:v>1584893.1924611153</c:v>
                </c:pt>
                <c:pt idx="520">
                  <c:v>1621810.0973589318</c:v>
                </c:pt>
                <c:pt idx="521">
                  <c:v>1659586.9074375622</c:v>
                </c:pt>
                <c:pt idx="522">
                  <c:v>1698243.6524617488</c:v>
                </c:pt>
                <c:pt idx="523">
                  <c:v>1737800.8287493798</c:v>
                </c:pt>
                <c:pt idx="524">
                  <c:v>1778279.4100389241</c:v>
                </c:pt>
                <c:pt idx="525">
                  <c:v>1819700.8586099846</c:v>
                </c:pt>
                <c:pt idx="526">
                  <c:v>1862087.1366628683</c:v>
                </c:pt>
                <c:pt idx="527">
                  <c:v>1905460.7179632513</c:v>
                </c:pt>
                <c:pt idx="528">
                  <c:v>1949844.5997580495</c:v>
                </c:pt>
                <c:pt idx="529">
                  <c:v>1995262.31496888</c:v>
                </c:pt>
                <c:pt idx="530">
                  <c:v>2041737.9446695296</c:v>
                </c:pt>
                <c:pt idx="531">
                  <c:v>2089296.1308540432</c:v>
                </c:pt>
                <c:pt idx="532">
                  <c:v>2137962.0895022359</c:v>
                </c:pt>
                <c:pt idx="533">
                  <c:v>2187761.6239495561</c:v>
                </c:pt>
                <c:pt idx="534">
                  <c:v>2238721.1385683389</c:v>
                </c:pt>
                <c:pt idx="535">
                  <c:v>2290867.6527677765</c:v>
                </c:pt>
                <c:pt idx="536">
                  <c:v>2344228.8153199251</c:v>
                </c:pt>
                <c:pt idx="537">
                  <c:v>2398832.9190194933</c:v>
                </c:pt>
                <c:pt idx="538">
                  <c:v>2454708.915685033</c:v>
                </c:pt>
                <c:pt idx="539">
                  <c:v>2511886.431509587</c:v>
                </c:pt>
                <c:pt idx="540">
                  <c:v>2570395.782768866</c:v>
                </c:pt>
                <c:pt idx="541">
                  <c:v>2630267.9918953842</c:v>
                </c:pt>
              </c:numCache>
            </c:numRef>
          </c:xVal>
          <c:yVal>
            <c:numRef>
              <c:f>Loop_Modeling!$AD$19:$AD$560</c:f>
              <c:numCache>
                <c:formatCode>0.000</c:formatCode>
                <c:ptCount val="542"/>
                <c:pt idx="0">
                  <c:v>40.614453107097262</c:v>
                </c:pt>
                <c:pt idx="1">
                  <c:v>40.609147527290986</c:v>
                </c:pt>
                <c:pt idx="2">
                  <c:v>40.603598841456751</c:v>
                </c:pt>
                <c:pt idx="3">
                  <c:v>40.597796242322197</c:v>
                </c:pt>
                <c:pt idx="4">
                  <c:v>40.59172847320032</c:v>
                </c:pt>
                <c:pt idx="5">
                  <c:v>40.585383812193342</c:v>
                </c:pt>
                <c:pt idx="6">
                  <c:v>40.578750056116064</c:v>
                </c:pt>
                <c:pt idx="7">
                  <c:v>40.571814504163619</c:v>
                </c:pt>
                <c:pt idx="8">
                  <c:v>40.564563941349149</c:v>
                </c:pt>
                <c:pt idx="9">
                  <c:v>40.556984621746281</c:v>
                </c:pt>
                <c:pt idx="10">
                  <c:v>40.549062251568898</c:v>
                </c:pt>
                <c:pt idx="11">
                  <c:v>40.540781972131995</c:v>
                </c:pt>
                <c:pt idx="12">
                  <c:v>40.53212834273733</c:v>
                </c:pt>
                <c:pt idx="13">
                  <c:v>40.523085323535611</c:v>
                </c:pt>
                <c:pt idx="14">
                  <c:v>40.513636258421755</c:v>
                </c:pt>
                <c:pt idx="15">
                  <c:v>40.503763858025927</c:v>
                </c:pt>
                <c:pt idx="16">
                  <c:v>40.493450182868756</c:v>
                </c:pt>
                <c:pt idx="17">
                  <c:v>40.482676626757723</c:v>
                </c:pt>
                <c:pt idx="18">
                  <c:v>40.471423900504853</c:v>
                </c:pt>
                <c:pt idx="19">
                  <c:v>40.459672016058889</c:v>
                </c:pt>
                <c:pt idx="20">
                  <c:v>40.447400271146265</c:v>
                </c:pt>
                <c:pt idx="21">
                  <c:v>40.434587234528117</c:v>
                </c:pt>
                <c:pt idx="22">
                  <c:v>40.421210731986605</c:v>
                </c:pt>
                <c:pt idx="23">
                  <c:v>40.407247833160369</c:v>
                </c:pt>
                <c:pt idx="24">
                  <c:v>40.392674839362506</c:v>
                </c:pt>
                <c:pt idx="25">
                  <c:v>40.377467272515226</c:v>
                </c:pt>
                <c:pt idx="26">
                  <c:v>40.361599865351977</c:v>
                </c:pt>
                <c:pt idx="27">
                  <c:v>40.345046553039701</c:v>
                </c:pt>
                <c:pt idx="28">
                  <c:v>40.327780466385732</c:v>
                </c:pt>
                <c:pt idx="29">
                  <c:v>40.309773926800084</c:v>
                </c:pt>
                <c:pt idx="30">
                  <c:v>40.290998443192251</c:v>
                </c:pt>
                <c:pt idx="31">
                  <c:v>40.271424710987688</c:v>
                </c:pt>
                <c:pt idx="32">
                  <c:v>40.251022613456449</c:v>
                </c:pt>
                <c:pt idx="33">
                  <c:v>40.229761225550646</c:v>
                </c:pt>
                <c:pt idx="34">
                  <c:v>40.207608820452727</c:v>
                </c:pt>
                <c:pt idx="35">
                  <c:v>40.184532879039303</c:v>
                </c:pt>
                <c:pt idx="36">
                  <c:v>40.16050010246687</c:v>
                </c:pt>
                <c:pt idx="37">
                  <c:v>40.135476428086918</c:v>
                </c:pt>
                <c:pt idx="38">
                  <c:v>40.109427048894631</c:v>
                </c:pt>
                <c:pt idx="39">
                  <c:v>40.082316436713405</c:v>
                </c:pt>
                <c:pt idx="40">
                  <c:v>40.054108369310612</c:v>
                </c:pt>
                <c:pt idx="41">
                  <c:v>40.024765961631992</c:v>
                </c:pt>
                <c:pt idx="42">
                  <c:v>39.994251701330747</c:v>
                </c:pt>
                <c:pt idx="43">
                  <c:v>39.962527488754816</c:v>
                </c:pt>
                <c:pt idx="44">
                  <c:v>39.929554681537105</c:v>
                </c:pt>
                <c:pt idx="45">
                  <c:v>39.895294143914988</c:v>
                </c:pt>
                <c:pt idx="46">
                  <c:v>39.85970630088196</c:v>
                </c:pt>
                <c:pt idx="47">
                  <c:v>39.822751197246419</c:v>
                </c:pt>
                <c:pt idx="48">
                  <c:v>39.784388561644278</c:v>
                </c:pt>
                <c:pt idx="49">
                  <c:v>39.744577875517194</c:v>
                </c:pt>
                <c:pt idx="50">
                  <c:v>39.703278447032233</c:v>
                </c:pt>
                <c:pt idx="51">
                  <c:v>39.660449489877962</c:v>
                </c:pt>
                <c:pt idx="52">
                  <c:v>39.616050206829073</c:v>
                </c:pt>
                <c:pt idx="53">
                  <c:v>39.570039877926689</c:v>
                </c:pt>
                <c:pt idx="54">
                  <c:v>39.522377953071022</c:v>
                </c:pt>
                <c:pt idx="55">
                  <c:v>39.473024148774563</c:v>
                </c:pt>
                <c:pt idx="56">
                  <c:v>39.421938548771969</c:v>
                </c:pt>
                <c:pt idx="57">
                  <c:v>39.369081708128235</c:v>
                </c:pt>
                <c:pt idx="58">
                  <c:v>39.314414760435888</c:v>
                </c:pt>
                <c:pt idx="59">
                  <c:v>39.257899527638429</c:v>
                </c:pt>
                <c:pt idx="60">
                  <c:v>39.199498631965412</c:v>
                </c:pt>
                <c:pt idx="61">
                  <c:v>39.139175609415517</c:v>
                </c:pt>
                <c:pt idx="62">
                  <c:v>39.076895024179564</c:v>
                </c:pt>
                <c:pt idx="63">
                  <c:v>39.012622583349497</c:v>
                </c:pt>
                <c:pt idx="64">
                  <c:v>38.946325251225531</c:v>
                </c:pt>
                <c:pt idx="65">
                  <c:v>38.87797136249921</c:v>
                </c:pt>
                <c:pt idx="66">
                  <c:v>38.807530733566537</c:v>
                </c:pt>
                <c:pt idx="67">
                  <c:v>38.734974771205607</c:v>
                </c:pt>
                <c:pt idx="68">
                  <c:v>38.660276577845522</c:v>
                </c:pt>
                <c:pt idx="69">
                  <c:v>38.583411052649936</c:v>
                </c:pt>
                <c:pt idx="70">
                  <c:v>38.504354987647169</c:v>
                </c:pt>
                <c:pt idx="71">
                  <c:v>38.423087158157173</c:v>
                </c:pt>
                <c:pt idx="72">
                  <c:v>38.339588406790305</c:v>
                </c:pt>
                <c:pt idx="73">
                  <c:v>38.253841720330854</c:v>
                </c:pt>
                <c:pt idx="74">
                  <c:v>38.165832298863876</c:v>
                </c:pt>
                <c:pt idx="75">
                  <c:v>38.07554761655782</c:v>
                </c:pt>
                <c:pt idx="76">
                  <c:v>37.982977473579396</c:v>
                </c:pt>
                <c:pt idx="77">
                  <c:v>37.888114038687284</c:v>
                </c:pt>
                <c:pt idx="78">
                  <c:v>37.79095188212959</c:v>
                </c:pt>
                <c:pt idx="79">
                  <c:v>37.691487998552205</c:v>
                </c:pt>
                <c:pt idx="80">
                  <c:v>37.589721819713247</c:v>
                </c:pt>
                <c:pt idx="81">
                  <c:v>37.48565521688991</c:v>
                </c:pt>
                <c:pt idx="82">
                  <c:v>37.379292492955528</c:v>
                </c:pt>
                <c:pt idx="83">
                  <c:v>37.27064036419813</c:v>
                </c:pt>
                <c:pt idx="84">
                  <c:v>37.159707932044071</c:v>
                </c:pt>
                <c:pt idx="85">
                  <c:v>37.046506644937594</c:v>
                </c:pt>
                <c:pt idx="86">
                  <c:v>36.931050250715096</c:v>
                </c:pt>
                <c:pt idx="87">
                  <c:v>36.813354739890933</c:v>
                </c:pt>
                <c:pt idx="88">
                  <c:v>36.693438280347209</c:v>
                </c:pt>
                <c:pt idx="89">
                  <c:v>36.5713211439855</c:v>
                </c:pt>
                <c:pt idx="90">
                  <c:v>36.447025625958581</c:v>
                </c:pt>
                <c:pt idx="91">
                  <c:v>36.320575957148911</c:v>
                </c:pt>
                <c:pt idx="92">
                  <c:v>36.191998210602357</c:v>
                </c:pt>
                <c:pt idx="93">
                  <c:v>36.061320202656589</c:v>
                </c:pt>
                <c:pt idx="94">
                  <c:v>35.928571389524798</c:v>
                </c:pt>
                <c:pt idx="95">
                  <c:v>35.793782760108847</c:v>
                </c:pt>
                <c:pt idx="96">
                  <c:v>35.656986725817333</c:v>
                </c:pt>
                <c:pt idx="97">
                  <c:v>35.518217008159098</c:v>
                </c:pt>
                <c:pt idx="98">
                  <c:v>35.377508524867892</c:v>
                </c:pt>
                <c:pt idx="99">
                  <c:v>35.234897275292539</c:v>
                </c:pt>
                <c:pt idx="100">
                  <c:v>35.090420225756837</c:v>
                </c:pt>
                <c:pt idx="101">
                  <c:v>34.944115195560485</c:v>
                </c:pt>
                <c:pt idx="102">
                  <c:v>34.796020744249475</c:v>
                </c:pt>
                <c:pt idx="103">
                  <c:v>34.646176060742327</c:v>
                </c:pt>
                <c:pt idx="104">
                  <c:v>34.494620854848662</c:v>
                </c:pt>
                <c:pt idx="105">
                  <c:v>34.341395251668196</c:v>
                </c:pt>
                <c:pt idx="106">
                  <c:v>34.186539689303721</c:v>
                </c:pt>
                <c:pt idx="107">
                  <c:v>34.030094820270385</c:v>
                </c:pt>
                <c:pt idx="108">
                  <c:v>33.872101416931038</c:v>
                </c:pt>
                <c:pt idx="109">
                  <c:v>33.712600281232113</c:v>
                </c:pt>
                <c:pt idx="110">
                  <c:v>33.551632158967841</c:v>
                </c:pt>
                <c:pt idx="111">
                  <c:v>33.389237658746332</c:v>
                </c:pt>
                <c:pt idx="112">
                  <c:v>33.225457175788662</c:v>
                </c:pt>
                <c:pt idx="113">
                  <c:v>33.060330820643301</c:v>
                </c:pt>
                <c:pt idx="114">
                  <c:v>32.893898352860155</c:v>
                </c:pt>
                <c:pt idx="115">
                  <c:v>32.726199119628106</c:v>
                </c:pt>
                <c:pt idx="116">
                  <c:v>32.557271999345616</c:v>
                </c:pt>
                <c:pt idx="117">
                  <c:v>32.387155350061526</c:v>
                </c:pt>
                <c:pt idx="118">
                  <c:v>32.215886962696551</c:v>
                </c:pt>
                <c:pt idx="119">
                  <c:v>32.043504018928658</c:v>
                </c:pt>
                <c:pt idx="120">
                  <c:v>31.870043053607063</c:v>
                </c:pt>
                <c:pt idx="121">
                  <c:v>31.695539921538291</c:v>
                </c:pt>
                <c:pt idx="122">
                  <c:v>31.520029768474593</c:v>
                </c:pt>
                <c:pt idx="123">
                  <c:v>31.34354700612214</c:v>
                </c:pt>
                <c:pt idx="124">
                  <c:v>31.166125290976705</c:v>
                </c:pt>
                <c:pt idx="125">
                  <c:v>30.987797506788009</c:v>
                </c:pt>
                <c:pt idx="126">
                  <c:v>30.808595750448472</c:v>
                </c:pt>
                <c:pt idx="127">
                  <c:v>30.628551321100442</c:v>
                </c:pt>
                <c:pt idx="128">
                  <c:v>30.447694712256105</c:v>
                </c:pt>
                <c:pt idx="129">
                  <c:v>30.266055606720816</c:v>
                </c:pt>
                <c:pt idx="130">
                  <c:v>30.083662874121568</c:v>
                </c:pt>
                <c:pt idx="131">
                  <c:v>29.900544570836665</c:v>
                </c:pt>
                <c:pt idx="132">
                  <c:v>29.716727942134895</c:v>
                </c:pt>
                <c:pt idx="133">
                  <c:v>29.532239426333682</c:v>
                </c:pt>
                <c:pt idx="134">
                  <c:v>29.347104660796358</c:v>
                </c:pt>
                <c:pt idx="135">
                  <c:v>29.161348489591596</c:v>
                </c:pt>
                <c:pt idx="136">
                  <c:v>28.974994972648865</c:v>
                </c:pt>
                <c:pt idx="137">
                  <c:v>28.788067396251456</c:v>
                </c:pt>
                <c:pt idx="138">
                  <c:v>28.600588284715624</c:v>
                </c:pt>
                <c:pt idx="139">
                  <c:v>28.412579413112489</c:v>
                </c:pt>
                <c:pt idx="140">
                  <c:v>28.224061820901824</c:v>
                </c:pt>
                <c:pt idx="141">
                  <c:v>28.035055826348078</c:v>
                </c:pt>
                <c:pt idx="142">
                  <c:v>27.845581041605438</c:v>
                </c:pt>
                <c:pt idx="143">
                  <c:v>27.655656388360285</c:v>
                </c:pt>
                <c:pt idx="144">
                  <c:v>27.465300113930464</c:v>
                </c:pt>
                <c:pt idx="145">
                  <c:v>27.274529807729166</c:v>
                </c:pt>
                <c:pt idx="146">
                  <c:v>27.083362418005233</c:v>
                </c:pt>
                <c:pt idx="147">
                  <c:v>26.891814268784053</c:v>
                </c:pt>
                <c:pt idx="148">
                  <c:v>26.699901076933607</c:v>
                </c:pt>
                <c:pt idx="149">
                  <c:v>26.507637969293427</c:v>
                </c:pt>
                <c:pt idx="150">
                  <c:v>26.31503949980425</c:v>
                </c:pt>
                <c:pt idx="151">
                  <c:v>26.122119666587249</c:v>
                </c:pt>
                <c:pt idx="152">
                  <c:v>25.92889192892271</c:v>
                </c:pt>
                <c:pt idx="153">
                  <c:v>25.735369224086277</c:v>
                </c:pt>
                <c:pt idx="154">
                  <c:v>25.541563984004611</c:v>
                </c:pt>
                <c:pt idx="155">
                  <c:v>25.347488151696417</c:v>
                </c:pt>
                <c:pt idx="156">
                  <c:v>25.153153197469294</c:v>
                </c:pt>
                <c:pt idx="157">
                  <c:v>24.958570134846568</c:v>
                </c:pt>
                <c:pt idx="158">
                  <c:v>24.763749536203157</c:v>
                </c:pt>
                <c:pt idx="159">
                  <c:v>24.568701548089635</c:v>
                </c:pt>
                <c:pt idx="160">
                  <c:v>24.373435906230124</c:v>
                </c:pt>
                <c:pt idx="161">
                  <c:v>24.177961950181285</c:v>
                </c:pt>
                <c:pt idx="162">
                  <c:v>23.982288637640114</c:v>
                </c:pt>
                <c:pt idx="163">
                  <c:v>23.786424558393719</c:v>
                </c:pt>
                <c:pt idx="164">
                  <c:v>23.590377947905186</c:v>
                </c:pt>
                <c:pt idx="165">
                  <c:v>23.394156700529763</c:v>
                </c:pt>
                <c:pt idx="166">
                  <c:v>23.197768382360245</c:v>
                </c:pt>
                <c:pt idx="167">
                  <c:v>23.001220243700075</c:v>
                </c:pt>
                <c:pt idx="168">
                  <c:v>22.804519231163617</c:v>
                </c:pt>
                <c:pt idx="169">
                  <c:v>22.607671999407287</c:v>
                </c:pt>
                <c:pt idx="170">
                  <c:v>22.410684922491516</c:v>
                </c:pt>
                <c:pt idx="171">
                  <c:v>22.213564104879204</c:v>
                </c:pt>
                <c:pt idx="172">
                  <c:v>22.016315392074368</c:v>
                </c:pt>
                <c:pt idx="173">
                  <c:v>21.818944380905489</c:v>
                </c:pt>
                <c:pt idx="174">
                  <c:v>21.621456429460611</c:v>
                </c:pt>
                <c:pt idx="175">
                  <c:v>21.423856666679658</c:v>
                </c:pt>
                <c:pt idx="176">
                  <c:v>21.226150001610357</c:v>
                </c:pt>
                <c:pt idx="177">
                  <c:v>21.028341132336696</c:v>
                </c:pt>
                <c:pt idx="178">
                  <c:v>20.830434554584375</c:v>
                </c:pt>
                <c:pt idx="179">
                  <c:v>20.632434570014698</c:v>
                </c:pt>
                <c:pt idx="180">
                  <c:v>20.434345294211177</c:v>
                </c:pt>
                <c:pt idx="181">
                  <c:v>20.236170664369407</c:v>
                </c:pt>
                <c:pt idx="182">
                  <c:v>20.037914446697624</c:v>
                </c:pt>
                <c:pt idx="183">
                  <c:v>19.839580243534808</c:v>
                </c:pt>
                <c:pt idx="184">
                  <c:v>19.641171500197615</c:v>
                </c:pt>
                <c:pt idx="185">
                  <c:v>19.442691511561051</c:v>
                </c:pt>
                <c:pt idx="186">
                  <c:v>19.244143428382635</c:v>
                </c:pt>
                <c:pt idx="187">
                  <c:v>19.045530263378929</c:v>
                </c:pt>
                <c:pt idx="188">
                  <c:v>18.846854897060112</c:v>
                </c:pt>
                <c:pt idx="189">
                  <c:v>18.648120083333904</c:v>
                </c:pt>
                <c:pt idx="190">
                  <c:v>18.449328454882494</c:v>
                </c:pt>
                <c:pt idx="191">
                  <c:v>18.250482528324095</c:v>
                </c:pt>
                <c:pt idx="192">
                  <c:v>18.051584709163851</c:v>
                </c:pt>
                <c:pt idx="193">
                  <c:v>17.852637296543445</c:v>
                </c:pt>
                <c:pt idx="194">
                  <c:v>17.653642487794293</c:v>
                </c:pt>
                <c:pt idx="195">
                  <c:v>17.454602382804289</c:v>
                </c:pt>
                <c:pt idx="196">
                  <c:v>17.25551898820266</c:v>
                </c:pt>
                <c:pt idx="197">
                  <c:v>17.056394221369789</c:v>
                </c:pt>
                <c:pt idx="198">
                  <c:v>16.857229914280602</c:v>
                </c:pt>
                <c:pt idx="199">
                  <c:v>16.65802781718471</c:v>
                </c:pt>
                <c:pt idx="200">
                  <c:v>16.458789602131795</c:v>
                </c:pt>
                <c:pt idx="201">
                  <c:v>16.259516866347607</c:v>
                </c:pt>
                <c:pt idx="202">
                  <c:v>16.060211135465547</c:v>
                </c:pt>
                <c:pt idx="203">
                  <c:v>15.860873866620475</c:v>
                </c:pt>
                <c:pt idx="204">
                  <c:v>15.66150645140916</c:v>
                </c:pt>
                <c:pt idx="205">
                  <c:v>15.462110218723621</c:v>
                </c:pt>
                <c:pt idx="206">
                  <c:v>15.262686437461106</c:v>
                </c:pt>
                <c:pt idx="207">
                  <c:v>15.063236319116911</c:v>
                </c:pt>
                <c:pt idx="208">
                  <c:v>14.863761020263937</c:v>
                </c:pt>
                <c:pt idx="209">
                  <c:v>14.664261644923045</c:v>
                </c:pt>
                <c:pt idx="210">
                  <c:v>14.464739246830334</c:v>
                </c:pt>
                <c:pt idx="211">
                  <c:v>14.265194831602861</c:v>
                </c:pt>
                <c:pt idx="212">
                  <c:v>14.065629358809462</c:v>
                </c:pt>
                <c:pt idx="213">
                  <c:v>13.866043743948904</c:v>
                </c:pt>
                <c:pt idx="214">
                  <c:v>13.666438860339431</c:v>
                </c:pt>
                <c:pt idx="215">
                  <c:v>13.466815540923712</c:v>
                </c:pt>
                <c:pt idx="216">
                  <c:v>13.267174579992339</c:v>
                </c:pt>
                <c:pt idx="217">
                  <c:v>13.067516734828537</c:v>
                </c:pt>
                <c:pt idx="218">
                  <c:v>12.867842727279005</c:v>
                </c:pt>
                <c:pt idx="219">
                  <c:v>12.668153245251039</c:v>
                </c:pt>
                <c:pt idx="220">
                  <c:v>12.468448944142782</c:v>
                </c:pt>
                <c:pt idx="221">
                  <c:v>12.268730448204661</c:v>
                </c:pt>
                <c:pt idx="222">
                  <c:v>12.068998351839763</c:v>
                </c:pt>
                <c:pt idx="223">
                  <c:v>11.869253220840672</c:v>
                </c:pt>
                <c:pt idx="224">
                  <c:v>11.669495593569536</c:v>
                </c:pt>
                <c:pt idx="225">
                  <c:v>11.469725982080501</c:v>
                </c:pt>
                <c:pt idx="226">
                  <c:v>11.269944873188626</c:v>
                </c:pt>
                <c:pt idx="227">
                  <c:v>11.070152729486937</c:v>
                </c:pt>
                <c:pt idx="228">
                  <c:v>10.870349990313109</c:v>
                </c:pt>
                <c:pt idx="229">
                  <c:v>10.670537072667749</c:v>
                </c:pt>
                <c:pt idx="230">
                  <c:v>10.47071437208781</c:v>
                </c:pt>
                <c:pt idx="231">
                  <c:v>10.270882263473688</c:v>
                </c:pt>
                <c:pt idx="232">
                  <c:v>10.071041101875618</c:v>
                </c:pt>
                <c:pt idx="233">
                  <c:v>9.8711912232364707</c:v>
                </c:pt>
                <c:pt idx="234">
                  <c:v>9.6713329450971131</c:v>
                </c:pt>
                <c:pt idx="235">
                  <c:v>9.4714665672619738</c:v>
                </c:pt>
                <c:pt idx="236">
                  <c:v>9.2715923724282394</c:v>
                </c:pt>
                <c:pt idx="237">
                  <c:v>9.071710626779101</c:v>
                </c:pt>
                <c:pt idx="238">
                  <c:v>8.8718215805430507</c:v>
                </c:pt>
                <c:pt idx="239">
                  <c:v>8.6719254685193796</c:v>
                </c:pt>
                <c:pt idx="240">
                  <c:v>8.4720225105713283</c:v>
                </c:pt>
                <c:pt idx="241">
                  <c:v>8.2721129120887085</c:v>
                </c:pt>
                <c:pt idx="242">
                  <c:v>8.0721968644194106</c:v>
                </c:pt>
                <c:pt idx="243">
                  <c:v>7.8722745452719316</c:v>
                </c:pt>
                <c:pt idx="244">
                  <c:v>7.6723461190893421</c:v>
                </c:pt>
                <c:pt idx="245">
                  <c:v>7.4724117373949328</c:v>
                </c:pt>
                <c:pt idx="246">
                  <c:v>7.2724715391115673</c:v>
                </c:pt>
                <c:pt idx="247">
                  <c:v>7.072525650853998</c:v>
                </c:pt>
                <c:pt idx="248">
                  <c:v>6.8725741871953403</c:v>
                </c:pt>
                <c:pt idx="249">
                  <c:v>6.6726172509083215</c:v>
                </c:pt>
                <c:pt idx="250">
                  <c:v>6.4726549331820422</c:v>
                </c:pt>
                <c:pt idx="251">
                  <c:v>6.2726873138137602</c:v>
                </c:pt>
                <c:pt idx="252">
                  <c:v>6.0727144613772763</c:v>
                </c:pt>
                <c:pt idx="253">
                  <c:v>5.8727364333674439</c:v>
                </c:pt>
                <c:pt idx="254">
                  <c:v>5.6727532763211173</c:v>
                </c:pt>
                <c:pt idx="255">
                  <c:v>5.4727650259154617</c:v>
                </c:pt>
                <c:pt idx="256">
                  <c:v>5.2727717070432742</c:v>
                </c:pt>
                <c:pt idx="257">
                  <c:v>5.0727733338655758</c:v>
                </c:pt>
                <c:pt idx="258">
                  <c:v>4.8727699098412289</c:v>
                </c:pt>
                <c:pt idx="259">
                  <c:v>4.6727614277346303</c:v>
                </c:pt>
                <c:pt idx="260">
                  <c:v>4.4727478696006431</c:v>
                </c:pt>
                <c:pt idx="261">
                  <c:v>4.2727292067467175</c:v>
                </c:pt>
                <c:pt idx="262">
                  <c:v>4.0727053996726577</c:v>
                </c:pt>
                <c:pt idx="263">
                  <c:v>3.8726763979876151</c:v>
                </c:pt>
                <c:pt idx="264">
                  <c:v>3.6726421403040135</c:v>
                </c:pt>
                <c:pt idx="265">
                  <c:v>3.4726025541087697</c:v>
                </c:pt>
                <c:pt idx="266">
                  <c:v>3.2725575556102076</c:v>
                </c:pt>
                <c:pt idx="267">
                  <c:v>3.0725070495621227</c:v>
                </c:pt>
                <c:pt idx="268">
                  <c:v>2.8724509290637785</c:v>
                </c:pt>
                <c:pt idx="269">
                  <c:v>2.6723890753344564</c:v>
                </c:pt>
                <c:pt idx="270">
                  <c:v>2.4723213574640432</c:v>
                </c:pt>
                <c:pt idx="271">
                  <c:v>2.2722476321378777</c:v>
                </c:pt>
                <c:pt idx="272">
                  <c:v>2.0721677433354535</c:v>
                </c:pt>
                <c:pt idx="273">
                  <c:v>1.872081522002222</c:v>
                </c:pt>
                <c:pt idx="274">
                  <c:v>1.671988785694879</c:v>
                </c:pt>
                <c:pt idx="275">
                  <c:v>1.4718893381980309</c:v>
                </c:pt>
                <c:pt idx="276">
                  <c:v>1.2717829691116052</c:v>
                </c:pt>
                <c:pt idx="277">
                  <c:v>1.0716694534100699</c:v>
                </c:pt>
                <c:pt idx="278">
                  <c:v>0.87154855096940864</c:v>
                </c:pt>
                <c:pt idx="279">
                  <c:v>0.67142000606364305</c:v>
                </c:pt>
                <c:pt idx="280">
                  <c:v>0.4712835468285192</c:v>
                </c:pt>
                <c:pt idx="281">
                  <c:v>0.27113888469188352</c:v>
                </c:pt>
                <c:pt idx="282">
                  <c:v>7.0985713768282568E-2</c:v>
                </c:pt>
                <c:pt idx="283">
                  <c:v>-0.12917628978088774</c:v>
                </c:pt>
                <c:pt idx="284">
                  <c:v>-0.32934746842612778</c:v>
                </c:pt>
                <c:pt idx="285">
                  <c:v>-0.52952818398580526</c:v>
                </c:pt>
                <c:pt idx="286">
                  <c:v>-0.72971881838317654</c:v>
                </c:pt>
                <c:pt idx="287">
                  <c:v>-0.92991977444452001</c:v>
                </c:pt>
                <c:pt idx="288">
                  <c:v>-1.1301314767408941</c:v>
                </c:pt>
                <c:pt idx="289">
                  <c:v>-1.3303543724739124</c:v>
                </c:pt>
                <c:pt idx="290">
                  <c:v>-1.5305889324095092</c:v>
                </c:pt>
                <c:pt idx="291">
                  <c:v>-1.7308356518586046</c:v>
                </c:pt>
                <c:pt idx="292">
                  <c:v>-1.9310950517094794</c:v>
                </c:pt>
                <c:pt idx="293">
                  <c:v>-2.1313676795116256</c:v>
                </c:pt>
                <c:pt idx="294">
                  <c:v>-2.3316541106152808</c:v>
                </c:pt>
                <c:pt idx="295">
                  <c:v>-2.5319549493664568</c:v>
                </c:pt>
                <c:pt idx="296">
                  <c:v>-2.7322708303618892</c:v>
                </c:pt>
                <c:pt idx="297">
                  <c:v>-2.9326024197656735</c:v>
                </c:pt>
                <c:pt idx="298">
                  <c:v>-3.1329504166894688</c:v>
                </c:pt>
                <c:pt idx="299">
                  <c:v>-3.3333155546396225</c:v>
                </c:pt>
                <c:pt idx="300">
                  <c:v>-3.5336986030342796</c:v>
                </c:pt>
                <c:pt idx="301">
                  <c:v>-3.7341003687922845</c:v>
                </c:pt>
                <c:pt idx="302">
                  <c:v>-3.9345216979978166</c:v>
                </c:pt>
                <c:pt idx="303">
                  <c:v>-4.1349634776436206</c:v>
                </c:pt>
                <c:pt idx="304">
                  <c:v>-4.3354266374560329</c:v>
                </c:pt>
                <c:pt idx="305">
                  <c:v>-4.535912151805368</c:v>
                </c:pt>
                <c:pt idx="306">
                  <c:v>-4.7364210417049195</c:v>
                </c:pt>
                <c:pt idx="307">
                  <c:v>-4.9369543769021424</c:v>
                </c:pt>
                <c:pt idx="308">
                  <c:v>-5.1375132780669812</c:v>
                </c:pt>
                <c:pt idx="309">
                  <c:v>-5.3380989190798189</c:v>
                </c:pt>
                <c:pt idx="310">
                  <c:v>-5.5387125294237007</c:v>
                </c:pt>
                <c:pt idx="311">
                  <c:v>-5.7393553966854078</c:v>
                </c:pt>
                <c:pt idx="312">
                  <c:v>-5.9400288691697618</c:v>
                </c:pt>
                <c:pt idx="313">
                  <c:v>-6.1407343586314855</c:v>
                </c:pt>
                <c:pt idx="314">
                  <c:v>-6.3414733431287118</c:v>
                </c:pt>
                <c:pt idx="315">
                  <c:v>-6.5422473700053283</c:v>
                </c:pt>
                <c:pt idx="316">
                  <c:v>-6.7430580590039746</c:v>
                </c:pt>
                <c:pt idx="317">
                  <c:v>-6.9439071055177468</c:v>
                </c:pt>
                <c:pt idx="318">
                  <c:v>-7.1447962839844124</c:v>
                </c:pt>
                <c:pt idx="319">
                  <c:v>-7.3457274514288997</c:v>
                </c:pt>
                <c:pt idx="320">
                  <c:v>-7.5467025511609549</c:v>
                </c:pt>
                <c:pt idx="321">
                  <c:v>-7.747723616631383</c:v>
                </c:pt>
                <c:pt idx="322">
                  <c:v>-7.9487927754560559</c:v>
                </c:pt>
                <c:pt idx="323">
                  <c:v>-8.1499122536104078</c:v>
                </c:pt>
                <c:pt idx="324">
                  <c:v>-8.351084379804945</c:v>
                </c:pt>
                <c:pt idx="325">
                  <c:v>-8.5523115900429527</c:v>
                </c:pt>
                <c:pt idx="326">
                  <c:v>-8.7535964323727349</c:v>
                </c:pt>
                <c:pt idx="327">
                  <c:v>-8.9549415718360894</c:v>
                </c:pt>
                <c:pt idx="328">
                  <c:v>-9.1563497956233437</c:v>
                </c:pt>
                <c:pt idx="329">
                  <c:v>-9.3578240184406241</c:v>
                </c:pt>
                <c:pt idx="330">
                  <c:v>-9.5593672880954088</c:v>
                </c:pt>
                <c:pt idx="331">
                  <c:v>-9.7609827913098517</c:v>
                </c:pt>
                <c:pt idx="332">
                  <c:v>-9.9626738597666389</c:v>
                </c:pt>
                <c:pt idx="333">
                  <c:v>-10.164443976396178</c:v>
                </c:pt>
                <c:pt idx="334">
                  <c:v>-10.366296781911648</c:v>
                </c:pt>
                <c:pt idx="335">
                  <c:v>-10.568236081599148</c:v>
                </c:pt>
                <c:pt idx="336">
                  <c:v>-10.770265852370235</c:v>
                </c:pt>
                <c:pt idx="337">
                  <c:v>-10.972390250083723</c:v>
                </c:pt>
                <c:pt idx="338">
                  <c:v>-11.174613617144063</c:v>
                </c:pt>
                <c:pt idx="339">
                  <c:v>-11.376940490382115</c:v>
                </c:pt>
                <c:pt idx="340">
                  <c:v>-11.579375609226105</c:v>
                </c:pt>
                <c:pt idx="341">
                  <c:v>-11.781923924168066</c:v>
                </c:pt>
                <c:pt idx="342">
                  <c:v>-11.984590605531963</c:v>
                </c:pt>
                <c:pt idx="343">
                  <c:v>-12.187381052549044</c:v>
                </c:pt>
                <c:pt idx="344">
                  <c:v>-12.390300902745629</c:v>
                </c:pt>
                <c:pt idx="345">
                  <c:v>-12.593356041647457</c:v>
                </c:pt>
                <c:pt idx="346">
                  <c:v>-12.796552612805097</c:v>
                </c:pt>
                <c:pt idx="347">
                  <c:v>-12.999897028142584</c:v>
                </c:pt>
                <c:pt idx="348">
                  <c:v>-13.203395978632651</c:v>
                </c:pt>
                <c:pt idx="349">
                  <c:v>-13.407056445299304</c:v>
                </c:pt>
                <c:pt idx="350">
                  <c:v>-13.610885710548736</c:v>
                </c:pt>
                <c:pt idx="351">
                  <c:v>-13.814891369826128</c:v>
                </c:pt>
                <c:pt idx="352">
                  <c:v>-14.019081343599023</c:v>
                </c:pt>
                <c:pt idx="353">
                  <c:v>-14.223463889660115</c:v>
                </c:pt>
                <c:pt idx="354">
                  <c:v>-14.428047615748126</c:v>
                </c:pt>
                <c:pt idx="355">
                  <c:v>-14.632841492475809</c:v>
                </c:pt>
                <c:pt idx="356">
                  <c:v>-14.837854866559457</c:v>
                </c:pt>
                <c:pt idx="357">
                  <c:v>-15.043097474336378</c:v>
                </c:pt>
                <c:pt idx="358">
                  <c:v>-15.248579455559168</c:v>
                </c:pt>
                <c:pt idx="359">
                  <c:v>-15.454311367447588</c:v>
                </c:pt>
                <c:pt idx="360">
                  <c:v>-15.660304198982795</c:v>
                </c:pt>
                <c:pt idx="361">
                  <c:v>-15.86656938541983</c:v>
                </c:pt>
                <c:pt idx="362">
                  <c:v>-16.073118822993173</c:v>
                </c:pt>
                <c:pt idx="363">
                  <c:v>-16.279964883789361</c:v>
                </c:pt>
                <c:pt idx="364">
                  <c:v>-16.487120430750316</c:v>
                </c:pt>
                <c:pt idx="365">
                  <c:v>-16.694598832775075</c:v>
                </c:pt>
                <c:pt idx="366">
                  <c:v>-16.902413979876897</c:v>
                </c:pt>
                <c:pt idx="367">
                  <c:v>-17.11058029835106</c:v>
                </c:pt>
                <c:pt idx="368">
                  <c:v>-17.319112765903956</c:v>
                </c:pt>
                <c:pt idx="369">
                  <c:v>-17.528026926688341</c:v>
                </c:pt>
                <c:pt idx="370">
                  <c:v>-17.737338906183211</c:v>
                </c:pt>
                <c:pt idx="371">
                  <c:v>-17.947065425854486</c:v>
                </c:pt>
                <c:pt idx="372">
                  <c:v>-18.157223817522549</c:v>
                </c:pt>
                <c:pt idx="373">
                  <c:v>-18.367832037359996</c:v>
                </c:pt>
                <c:pt idx="374">
                  <c:v>-18.578908679434626</c:v>
                </c:pt>
                <c:pt idx="375">
                  <c:v>-18.790472988708199</c:v>
                </c:pt>
                <c:pt idx="376">
                  <c:v>-19.002544873392303</c:v>
                </c:pt>
                <c:pt idx="377">
                  <c:v>-19.215144916558138</c:v>
                </c:pt>
                <c:pt idx="378">
                  <c:v>-19.428294386889679</c:v>
                </c:pt>
                <c:pt idx="379">
                  <c:v>-19.642015248462513</c:v>
                </c:pt>
                <c:pt idx="380">
                  <c:v>-19.856330169423138</c:v>
                </c:pt>
                <c:pt idx="381">
                  <c:v>-20.071262529439675</c:v>
                </c:pt>
                <c:pt idx="382">
                  <c:v>-20.286836425785136</c:v>
                </c:pt>
                <c:pt idx="383">
                  <c:v>-20.503076677910052</c:v>
                </c:pt>
                <c:pt idx="384">
                  <c:v>-20.720008830356495</c:v>
                </c:pt>
                <c:pt idx="385">
                  <c:v>-20.937659153855922</c:v>
                </c:pt>
                <c:pt idx="386">
                  <c:v>-21.156054644455406</c:v>
                </c:pt>
                <c:pt idx="387">
                  <c:v>-21.375223020504841</c:v>
                </c:pt>
                <c:pt idx="388">
                  <c:v>-21.595192717342218</c:v>
                </c:pt>
                <c:pt idx="389">
                  <c:v>-21.815992879504176</c:v>
                </c:pt>
                <c:pt idx="390">
                  <c:v>-22.037653350295102</c:v>
                </c:pt>
                <c:pt idx="391">
                  <c:v>-22.260204658542008</c:v>
                </c:pt>
                <c:pt idx="392">
                  <c:v>-22.48367800236737</c:v>
                </c:pt>
                <c:pt idx="393">
                  <c:v>-22.708105229813714</c:v>
                </c:pt>
                <c:pt idx="394">
                  <c:v>-22.933518816157598</c:v>
                </c:pt>
                <c:pt idx="395">
                  <c:v>-23.159951837758399</c:v>
                </c:pt>
                <c:pt idx="396">
                  <c:v>-23.387437942292671</c:v>
                </c:pt>
                <c:pt idx="397">
                  <c:v>-23.616011315238985</c:v>
                </c:pt>
                <c:pt idx="398">
                  <c:v>-23.845706642485172</c:v>
                </c:pt>
                <c:pt idx="399">
                  <c:v>-24.076559068947581</c:v>
                </c:pt>
                <c:pt idx="400">
                  <c:v>-24.308604153108227</c:v>
                </c:pt>
                <c:pt idx="401">
                  <c:v>-24.541877817392781</c:v>
                </c:pt>
                <c:pt idx="402">
                  <c:v>-24.776416294333444</c:v>
                </c:pt>
                <c:pt idx="403">
                  <c:v>-25.012256068485556</c:v>
                </c:pt>
                <c:pt idx="404">
                  <c:v>-25.249433814090882</c:v>
                </c:pt>
                <c:pt idx="405">
                  <c:v>-25.487986328506437</c:v>
                </c:pt>
                <c:pt idx="406">
                  <c:v>-25.727950461451353</c:v>
                </c:pt>
                <c:pt idx="407">
                  <c:v>-25.969363040149315</c:v>
                </c:pt>
                <c:pt idx="408">
                  <c:v>-26.212260790482556</c:v>
                </c:pt>
                <c:pt idx="409">
                  <c:v>-26.456680254304622</c:v>
                </c:pt>
                <c:pt idx="410">
                  <c:v>-26.702657703092395</c:v>
                </c:pt>
                <c:pt idx="411">
                  <c:v>-26.950229048159606</c:v>
                </c:pt>
                <c:pt idx="412">
                  <c:v>-27.199429747682498</c:v>
                </c:pt>
                <c:pt idx="413">
                  <c:v>-27.450294710832143</c:v>
                </c:pt>
                <c:pt idx="414">
                  <c:v>-27.702858199337676</c:v>
                </c:pt>
                <c:pt idx="415">
                  <c:v>-27.957153726843622</c:v>
                </c:pt>
                <c:pt idx="416">
                  <c:v>-28.213213956457352</c:v>
                </c:pt>
                <c:pt idx="417">
                  <c:v>-28.471070596913229</c:v>
                </c:pt>
                <c:pt idx="418">
                  <c:v>-28.730754297811597</c:v>
                </c:pt>
                <c:pt idx="419">
                  <c:v>-28.992294544418282</c:v>
                </c:pt>
                <c:pt idx="420">
                  <c:v>-29.255719552532092</c:v>
                </c:pt>
                <c:pt idx="421">
                  <c:v>-29.521056163951066</c:v>
                </c:pt>
                <c:pt idx="422">
                  <c:v>-29.78832974308262</c:v>
                </c:pt>
                <c:pt idx="423">
                  <c:v>-30.057564075257272</c:v>
                </c:pt>
                <c:pt idx="424">
                  <c:v>-30.328781267310241</c:v>
                </c:pt>
                <c:pt idx="425">
                  <c:v>-30.60200165100083</c:v>
                </c:pt>
                <c:pt idx="426">
                  <c:v>-30.877243689834529</c:v>
                </c:pt>
                <c:pt idx="427">
                  <c:v>-31.154523889846232</c:v>
                </c:pt>
                <c:pt idx="428">
                  <c:v>-31.433856714886428</c:v>
                </c:pt>
                <c:pt idx="429">
                  <c:v>-31.715254506938592</c:v>
                </c:pt>
                <c:pt idx="430">
                  <c:v>-31.998727411961887</c:v>
                </c:pt>
                <c:pt idx="431">
                  <c:v>-32.284283311732409</c:v>
                </c:pt>
                <c:pt idx="432">
                  <c:v>-32.571927762112495</c:v>
                </c:pt>
                <c:pt idx="433">
                  <c:v>-32.861663938140566</c:v>
                </c:pt>
                <c:pt idx="434">
                  <c:v>-33.153492586286255</c:v>
                </c:pt>
                <c:pt idx="435">
                  <c:v>-33.447411984165207</c:v>
                </c:pt>
                <c:pt idx="436">
                  <c:v>-33.743417907954466</c:v>
                </c:pt>
                <c:pt idx="437">
                  <c:v>-34.041503607689869</c:v>
                </c:pt>
                <c:pt idx="438">
                  <c:v>-34.341659790569018</c:v>
                </c:pt>
                <c:pt idx="439">
                  <c:v>-34.643874612317582</c:v>
                </c:pt>
                <c:pt idx="440">
                  <c:v>-34.948133676616969</c:v>
                </c:pt>
                <c:pt idx="441">
                  <c:v>-35.254420042525545</c:v>
                </c:pt>
                <c:pt idx="442">
                  <c:v>-35.562714239760382</c:v>
                </c:pt>
                <c:pt idx="443">
                  <c:v>-35.872994291649142</c:v>
                </c:pt>
                <c:pt idx="444">
                  <c:v>-36.185235745496961</c:v>
                </c:pt>
                <c:pt idx="445">
                  <c:v>-36.499411710059576</c:v>
                </c:pt>
                <c:pt idx="446">
                  <c:v>-36.81549289975861</c:v>
                </c:pt>
                <c:pt idx="447">
                  <c:v>-37.133447685228518</c:v>
                </c:pt>
                <c:pt idx="448">
                  <c:v>-37.453242149738941</c:v>
                </c:pt>
                <c:pt idx="449">
                  <c:v>-37.774840151001229</c:v>
                </c:pt>
                <c:pt idx="450">
                  <c:v>-38.098203387833813</c:v>
                </c:pt>
                <c:pt idx="451">
                  <c:v>-38.423291471139244</c:v>
                </c:pt>
                <c:pt idx="452">
                  <c:v>-38.750061998625426</c:v>
                </c:pt>
                <c:pt idx="453">
                  <c:v>-39.07847063269422</c:v>
                </c:pt>
                <c:pt idx="454">
                  <c:v>-39.408471180917644</c:v>
                </c:pt>
                <c:pt idx="455">
                  <c:v>-39.740015678523321</c:v>
                </c:pt>
                <c:pt idx="456">
                  <c:v>-40.073054472321765</c:v>
                </c:pt>
                <c:pt idx="457">
                  <c:v>-40.407536305526918</c:v>
                </c:pt>
                <c:pt idx="458">
                  <c:v>-40.743408402939743</c:v>
                </c:pt>
                <c:pt idx="459">
                  <c:v>-41.080616555997487</c:v>
                </c:pt>
                <c:pt idx="460">
                  <c:v>-41.419105207222145</c:v>
                </c:pt>
                <c:pt idx="461">
                  <c:v>-41.758817533639331</c:v>
                </c:pt>
                <c:pt idx="462">
                  <c:v>-42.099695528783172</c:v>
                </c:pt>
                <c:pt idx="463">
                  <c:v>-42.441680082944472</c:v>
                </c:pt>
                <c:pt idx="464">
                  <c:v>-42.78471106136935</c:v>
                </c:pt>
                <c:pt idx="465">
                  <c:v>-43.128727380162857</c:v>
                </c:pt>
                <c:pt idx="466">
                  <c:v>-43.47366707970491</c:v>
                </c:pt>
                <c:pt idx="467">
                  <c:v>-43.819467395433058</c:v>
                </c:pt>
                <c:pt idx="468">
                  <c:v>-44.166064825901799</c:v>
                </c:pt>
                <c:pt idx="469">
                  <c:v>-44.513395198074093</c:v>
                </c:pt>
                <c:pt idx="470">
                  <c:v>-44.861393729852104</c:v>
                </c:pt>
                <c:pt idx="471">
                  <c:v>-45.209995089900943</c:v>
                </c:pt>
                <c:pt idx="472">
                  <c:v>-45.5591334548619</c:v>
                </c:pt>
                <c:pt idx="473">
                  <c:v>-45.908742564097849</c:v>
                </c:pt>
                <c:pt idx="474">
                  <c:v>-46.258755772148987</c:v>
                </c:pt>
                <c:pt idx="475">
                  <c:v>-46.609106099115742</c:v>
                </c:pt>
                <c:pt idx="476">
                  <c:v>-46.959726279217435</c:v>
                </c:pt>
                <c:pt idx="477">
                  <c:v>-47.310548807804068</c:v>
                </c:pt>
                <c:pt idx="478">
                  <c:v>-47.661505987124031</c:v>
                </c:pt>
                <c:pt idx="479">
                  <c:v>-48.012529971170778</c:v>
                </c:pt>
                <c:pt idx="480">
                  <c:v>-48.363552809949567</c:v>
                </c:pt>
                <c:pt idx="481">
                  <c:v>-48.714506493514456</c:v>
                </c:pt>
                <c:pt idx="482">
                  <c:v>-49.065322996139109</c:v>
                </c:pt>
                <c:pt idx="483">
                  <c:v>-49.415934320981087</c:v>
                </c:pt>
                <c:pt idx="484">
                  <c:v>-49.766272545604444</c:v>
                </c:pt>
                <c:pt idx="485">
                  <c:v>-50.116269868715797</c:v>
                </c:pt>
                <c:pt idx="486">
                  <c:v>-50.46585865845919</c:v>
                </c:pt>
                <c:pt idx="487">
                  <c:v>-50.814971502601267</c:v>
                </c:pt>
                <c:pt idx="488">
                  <c:v>-51.163541260914428</c:v>
                </c:pt>
                <c:pt idx="489">
                  <c:v>-51.511501120046731</c:v>
                </c:pt>
                <c:pt idx="490">
                  <c:v>-51.858784651132979</c:v>
                </c:pt>
                <c:pt idx="491">
                  <c:v>-52.20532587037092</c:v>
                </c:pt>
                <c:pt idx="492">
                  <c:v>-52.551059302747227</c:v>
                </c:pt>
                <c:pt idx="493">
                  <c:v>-52.895920049056883</c:v>
                </c:pt>
                <c:pt idx="494">
                  <c:v>-53.239843856313044</c:v>
                </c:pt>
                <c:pt idx="495">
                  <c:v>-53.582767191595835</c:v>
                </c:pt>
                <c:pt idx="496">
                  <c:v>-53.924627319335286</c:v>
                </c:pt>
                <c:pt idx="497">
                  <c:v>-54.265362381969133</c:v>
                </c:pt>
                <c:pt idx="498">
                  <c:v>-54.604911483858665</c:v>
                </c:pt>
                <c:pt idx="499">
                  <c:v>-54.943214778284883</c:v>
                </c:pt>
                <c:pt idx="500">
                  <c:v>-55.280213557291312</c:v>
                </c:pt>
                <c:pt idx="501">
                  <c:v>-55.615850344074154</c:v>
                </c:pt>
                <c:pt idx="502">
                  <c:v>-55.950068987564805</c:v>
                </c:pt>
                <c:pt idx="503">
                  <c:v>-56.282814758788298</c:v>
                </c:pt>
                <c:pt idx="504">
                  <c:v>-56.614034448527299</c:v>
                </c:pt>
                <c:pt idx="505">
                  <c:v>-56.943676465764845</c:v>
                </c:pt>
                <c:pt idx="506">
                  <c:v>-57.271690936332895</c:v>
                </c:pt>
                <c:pt idx="507">
                  <c:v>-57.598029801146822</c:v>
                </c:pt>
                <c:pt idx="508">
                  <c:v>-57.922646913369533</c:v>
                </c:pt>
                <c:pt idx="509">
                  <c:v>-58.245498133814699</c:v>
                </c:pt>
                <c:pt idx="510">
                  <c:v>-58.566541423877382</c:v>
                </c:pt>
                <c:pt idx="511">
                  <c:v>-58.885736935260653</c:v>
                </c:pt>
                <c:pt idx="512">
                  <c:v>-59.203047095763672</c:v>
                </c:pt>
                <c:pt idx="513">
                  <c:v>-59.518436690394729</c:v>
                </c:pt>
                <c:pt idx="514">
                  <c:v>-59.831872937088164</c:v>
                </c:pt>
                <c:pt idx="515">
                  <c:v>-60.14332555632302</c:v>
                </c:pt>
                <c:pt idx="516">
                  <c:v>-60.452766833975204</c:v>
                </c:pt>
                <c:pt idx="517">
                  <c:v>-60.760171676774242</c:v>
                </c:pt>
                <c:pt idx="518">
                  <c:v>-61.065517659786792</c:v>
                </c:pt>
                <c:pt idx="519">
                  <c:v>-61.368785065409455</c:v>
                </c:pt>
                <c:pt idx="520">
                  <c:v>-61.669956913419242</c:v>
                </c:pt>
                <c:pt idx="521">
                  <c:v>-61.969018981704423</c:v>
                </c:pt>
                <c:pt idx="522">
                  <c:v>-62.265959817380107</c:v>
                </c:pt>
                <c:pt idx="523">
                  <c:v>-62.56077073807635</c:v>
                </c:pt>
                <c:pt idx="524">
                  <c:v>-62.853445823277632</c:v>
                </c:pt>
                <c:pt idx="525">
                  <c:v>-63.143981895679111</c:v>
                </c:pt>
                <c:pt idx="526">
                  <c:v>-63.43237849262178</c:v>
                </c:pt>
                <c:pt idx="527">
                  <c:v>-63.718637827754478</c:v>
                </c:pt>
                <c:pt idx="528">
                  <c:v>-64.002764743163283</c:v>
                </c:pt>
                <c:pt idx="529">
                  <c:v>-64.284766652290614</c:v>
                </c:pt>
                <c:pt idx="530">
                  <c:v>-64.564653474047205</c:v>
                </c:pt>
                <c:pt idx="531">
                  <c:v>-64.842437558597737</c:v>
                </c:pt>
                <c:pt idx="532">
                  <c:v>-65.118133605361237</c:v>
                </c:pt>
                <c:pt idx="533">
                  <c:v>-65.391758573833812</c:v>
                </c:pt>
                <c:pt idx="534">
                  <c:v>-65.663331587887612</c:v>
                </c:pt>
                <c:pt idx="535">
                  <c:v>-65.932873834242599</c:v>
                </c:pt>
                <c:pt idx="536">
                  <c:v>-66.200408455839806</c:v>
                </c:pt>
                <c:pt idx="537">
                  <c:v>-66.465960440869452</c:v>
                </c:pt>
                <c:pt idx="538">
                  <c:v>-66.729556508217286</c:v>
                </c:pt>
                <c:pt idx="539">
                  <c:v>-66.991224990097265</c:v>
                </c:pt>
                <c:pt idx="540">
                  <c:v>-67.250995712637604</c:v>
                </c:pt>
                <c:pt idx="541">
                  <c:v>-67.508899875167828</c:v>
                </c:pt>
              </c:numCache>
            </c:numRef>
          </c:yVal>
          <c:smooth val="1"/>
          <c:extLst>
            <c:ext xmlns:c16="http://schemas.microsoft.com/office/drawing/2014/chart" uri="{C3380CC4-5D6E-409C-BE32-E72D297353CC}">
              <c16:uniqueId val="{00000000-B561-4C80-890B-643E0BF90D63}"/>
            </c:ext>
          </c:extLst>
        </c:ser>
        <c:dLbls>
          <c:showLegendKey val="0"/>
          <c:showVal val="0"/>
          <c:showCatName val="0"/>
          <c:showSerName val="0"/>
          <c:showPercent val="0"/>
          <c:showBubbleSize val="0"/>
        </c:dLbls>
        <c:axId val="162497664"/>
        <c:axId val="162499584"/>
      </c:scatterChart>
      <c:scatterChart>
        <c:scatterStyle val="smoothMarker"/>
        <c:varyColors val="0"/>
        <c:ser>
          <c:idx val="1"/>
          <c:order val="1"/>
          <c:tx>
            <c:v>Phase (deg)</c:v>
          </c:tx>
          <c:marker>
            <c:symbol val="none"/>
          </c:marker>
          <c:xVal>
            <c:numRef>
              <c:f>Loop_Modeling!$O$19:$O$560</c:f>
              <c:numCache>
                <c:formatCode>0.00</c:formatCode>
                <c:ptCount val="542"/>
                <c:pt idx="0">
                  <c:v>10.232929922807543</c:v>
                </c:pt>
                <c:pt idx="1">
                  <c:v>10.471285480509</c:v>
                </c:pt>
                <c:pt idx="2">
                  <c:v>10.715193052376069</c:v>
                </c:pt>
                <c:pt idx="3">
                  <c:v>10.964781961431854</c:v>
                </c:pt>
                <c:pt idx="4">
                  <c:v>11.220184543019636</c:v>
                </c:pt>
                <c:pt idx="5">
                  <c:v>11.481536214968834</c:v>
                </c:pt>
                <c:pt idx="6">
                  <c:v>11.748975549395301</c:v>
                </c:pt>
                <c:pt idx="7">
                  <c:v>12.022644346174133</c:v>
                </c:pt>
                <c:pt idx="8">
                  <c:v>12.302687708123818</c:v>
                </c:pt>
                <c:pt idx="9">
                  <c:v>12.58925411794168</c:v>
                </c:pt>
                <c:pt idx="10">
                  <c:v>12.882495516931346</c:v>
                </c:pt>
                <c:pt idx="11">
                  <c:v>13.182567385564075</c:v>
                </c:pt>
                <c:pt idx="12">
                  <c:v>13.489628825916535</c:v>
                </c:pt>
                <c:pt idx="13">
                  <c:v>13.803842646028857</c:v>
                </c:pt>
                <c:pt idx="14">
                  <c:v>14.125375446227544</c:v>
                </c:pt>
                <c:pt idx="15">
                  <c:v>14.454397707459275</c:v>
                </c:pt>
                <c:pt idx="16">
                  <c:v>14.791083881682074</c:v>
                </c:pt>
                <c:pt idx="17">
                  <c:v>15.135612484362087</c:v>
                </c:pt>
                <c:pt idx="18">
                  <c:v>15.488166189124817</c:v>
                </c:pt>
                <c:pt idx="19">
                  <c:v>15.848931924611136</c:v>
                </c:pt>
                <c:pt idx="20">
                  <c:v>16.218100973589298</c:v>
                </c:pt>
                <c:pt idx="21">
                  <c:v>16.595869074375614</c:v>
                </c:pt>
                <c:pt idx="22">
                  <c:v>16.982436524617448</c:v>
                </c:pt>
                <c:pt idx="23">
                  <c:v>17.378008287493756</c:v>
                </c:pt>
                <c:pt idx="24">
                  <c:v>17.782794100389236</c:v>
                </c:pt>
                <c:pt idx="25">
                  <c:v>18.197008586099841</c:v>
                </c:pt>
                <c:pt idx="26">
                  <c:v>18.62087136662868</c:v>
                </c:pt>
                <c:pt idx="27">
                  <c:v>19.054607179632477</c:v>
                </c:pt>
                <c:pt idx="28">
                  <c:v>19.498445997580465</c:v>
                </c:pt>
                <c:pt idx="29">
                  <c:v>19.952623149688804</c:v>
                </c:pt>
                <c:pt idx="30">
                  <c:v>20.4173794466953</c:v>
                </c:pt>
                <c:pt idx="31">
                  <c:v>20.8929613085404</c:v>
                </c:pt>
                <c:pt idx="32">
                  <c:v>21.379620895022335</c:v>
                </c:pt>
                <c:pt idx="33">
                  <c:v>21.877616239495538</c:v>
                </c:pt>
                <c:pt idx="34">
                  <c:v>22.387211385683404</c:v>
                </c:pt>
                <c:pt idx="35">
                  <c:v>22.908676527677727</c:v>
                </c:pt>
                <c:pt idx="36">
                  <c:v>23.442288153199236</c:v>
                </c:pt>
                <c:pt idx="37">
                  <c:v>23.988329190194907</c:v>
                </c:pt>
                <c:pt idx="38">
                  <c:v>24.547089156850316</c:v>
                </c:pt>
                <c:pt idx="39">
                  <c:v>25.118864315095799</c:v>
                </c:pt>
                <c:pt idx="40">
                  <c:v>25.703957827688647</c:v>
                </c:pt>
                <c:pt idx="41">
                  <c:v>26.302679918953825</c:v>
                </c:pt>
                <c:pt idx="42">
                  <c:v>26.915348039269158</c:v>
                </c:pt>
                <c:pt idx="43">
                  <c:v>27.542287033381665</c:v>
                </c:pt>
                <c:pt idx="44">
                  <c:v>28.183829312644548</c:v>
                </c:pt>
                <c:pt idx="45">
                  <c:v>28.840315031266066</c:v>
                </c:pt>
                <c:pt idx="46">
                  <c:v>29.512092266663863</c:v>
                </c:pt>
                <c:pt idx="47">
                  <c:v>30.199517204020164</c:v>
                </c:pt>
                <c:pt idx="48">
                  <c:v>30.902954325135919</c:v>
                </c:pt>
                <c:pt idx="49">
                  <c:v>31.622776601683803</c:v>
                </c:pt>
                <c:pt idx="50">
                  <c:v>32.359365692962832</c:v>
                </c:pt>
                <c:pt idx="51">
                  <c:v>33.113112148259127</c:v>
                </c:pt>
                <c:pt idx="52">
                  <c:v>33.884415613920268</c:v>
                </c:pt>
                <c:pt idx="53">
                  <c:v>34.67368504525318</c:v>
                </c:pt>
                <c:pt idx="54">
                  <c:v>35.481338923357555</c:v>
                </c:pt>
                <c:pt idx="55">
                  <c:v>36.307805477010156</c:v>
                </c:pt>
                <c:pt idx="56">
                  <c:v>37.15352290971726</c:v>
                </c:pt>
                <c:pt idx="57">
                  <c:v>38.018939632056139</c:v>
                </c:pt>
                <c:pt idx="58">
                  <c:v>38.904514499428053</c:v>
                </c:pt>
                <c:pt idx="59">
                  <c:v>39.810717055349755</c:v>
                </c:pt>
                <c:pt idx="60">
                  <c:v>40.738027780411279</c:v>
                </c:pt>
                <c:pt idx="61">
                  <c:v>41.686938347033561</c:v>
                </c:pt>
                <c:pt idx="62">
                  <c:v>42.657951880159267</c:v>
                </c:pt>
                <c:pt idx="63">
                  <c:v>43.651583224016633</c:v>
                </c:pt>
                <c:pt idx="64">
                  <c:v>44.668359215096324</c:v>
                </c:pt>
                <c:pt idx="65">
                  <c:v>45.70881896148753</c:v>
                </c:pt>
                <c:pt idx="66">
                  <c:v>46.773514128719818</c:v>
                </c:pt>
                <c:pt idx="67">
                  <c:v>47.863009232263877</c:v>
                </c:pt>
                <c:pt idx="68">
                  <c:v>48.977881936844632</c:v>
                </c:pt>
                <c:pt idx="69">
                  <c:v>50.118723362727238</c:v>
                </c:pt>
                <c:pt idx="70">
                  <c:v>51.28613839913649</c:v>
                </c:pt>
                <c:pt idx="71">
                  <c:v>52.480746024977286</c:v>
                </c:pt>
                <c:pt idx="72">
                  <c:v>53.703179637025293</c:v>
                </c:pt>
                <c:pt idx="73">
                  <c:v>54.95408738576247</c:v>
                </c:pt>
                <c:pt idx="74">
                  <c:v>56.234132519034915</c:v>
                </c:pt>
                <c:pt idx="75">
                  <c:v>57.543993733715695</c:v>
                </c:pt>
                <c:pt idx="76">
                  <c:v>58.884365535558949</c:v>
                </c:pt>
                <c:pt idx="77">
                  <c:v>60.255958607435822</c:v>
                </c:pt>
                <c:pt idx="78">
                  <c:v>61.659500186148257</c:v>
                </c:pt>
                <c:pt idx="79">
                  <c:v>63.095734448019364</c:v>
                </c:pt>
                <c:pt idx="80">
                  <c:v>64.565422903465588</c:v>
                </c:pt>
                <c:pt idx="81">
                  <c:v>66.069344800759623</c:v>
                </c:pt>
                <c:pt idx="82">
                  <c:v>67.60829753919819</c:v>
                </c:pt>
                <c:pt idx="83">
                  <c:v>69.183097091893657</c:v>
                </c:pt>
                <c:pt idx="84">
                  <c:v>70.794578438413865</c:v>
                </c:pt>
                <c:pt idx="85">
                  <c:v>72.443596007499011</c:v>
                </c:pt>
                <c:pt idx="86">
                  <c:v>74.131024130091816</c:v>
                </c:pt>
                <c:pt idx="87">
                  <c:v>75.857757502918361</c:v>
                </c:pt>
                <c:pt idx="88">
                  <c:v>77.624711662869217</c:v>
                </c:pt>
                <c:pt idx="89">
                  <c:v>79.432823472428197</c:v>
                </c:pt>
                <c:pt idx="90">
                  <c:v>81.283051616409963</c:v>
                </c:pt>
                <c:pt idx="91">
                  <c:v>83.176377110267126</c:v>
                </c:pt>
                <c:pt idx="92">
                  <c:v>85.113803820237734</c:v>
                </c:pt>
                <c:pt idx="93">
                  <c:v>87.096358995608071</c:v>
                </c:pt>
                <c:pt idx="94">
                  <c:v>89.125093813374562</c:v>
                </c:pt>
                <c:pt idx="95">
                  <c:v>91.201083935590972</c:v>
                </c:pt>
                <c:pt idx="96">
                  <c:v>93.325430079699174</c:v>
                </c:pt>
                <c:pt idx="97">
                  <c:v>95.499258602143655</c:v>
                </c:pt>
                <c:pt idx="98">
                  <c:v>97.723722095581124</c:v>
                </c:pt>
                <c:pt idx="99">
                  <c:v>100</c:v>
                </c:pt>
                <c:pt idx="100">
                  <c:v>102.32929922807544</c:v>
                </c:pt>
                <c:pt idx="101">
                  <c:v>104.71285480508998</c:v>
                </c:pt>
                <c:pt idx="102">
                  <c:v>107.15193052376065</c:v>
                </c:pt>
                <c:pt idx="103">
                  <c:v>109.64781961431861</c:v>
                </c:pt>
                <c:pt idx="104">
                  <c:v>112.20184543019634</c:v>
                </c:pt>
                <c:pt idx="105">
                  <c:v>114.81536214968835</c:v>
                </c:pt>
                <c:pt idx="106">
                  <c:v>117.48975549395293</c:v>
                </c:pt>
                <c:pt idx="107">
                  <c:v>120.22644346174135</c:v>
                </c:pt>
                <c:pt idx="108">
                  <c:v>123.02687708123821</c:v>
                </c:pt>
                <c:pt idx="109">
                  <c:v>125.89254117941677</c:v>
                </c:pt>
                <c:pt idx="110">
                  <c:v>128.82495516931343</c:v>
                </c:pt>
                <c:pt idx="111">
                  <c:v>131.82567385564084</c:v>
                </c:pt>
                <c:pt idx="112">
                  <c:v>134.89628825916537</c:v>
                </c:pt>
                <c:pt idx="113">
                  <c:v>138.0384264602886</c:v>
                </c:pt>
                <c:pt idx="114">
                  <c:v>141.25375446227542</c:v>
                </c:pt>
                <c:pt idx="115">
                  <c:v>144.54397707459285</c:v>
                </c:pt>
                <c:pt idx="116">
                  <c:v>147.91083881682084</c:v>
                </c:pt>
                <c:pt idx="117">
                  <c:v>151.3561248436209</c:v>
                </c:pt>
                <c:pt idx="118">
                  <c:v>154.8816618912482</c:v>
                </c:pt>
                <c:pt idx="119">
                  <c:v>158.48931924611153</c:v>
                </c:pt>
                <c:pt idx="120">
                  <c:v>162.18100973589304</c:v>
                </c:pt>
                <c:pt idx="121">
                  <c:v>165.95869074375622</c:v>
                </c:pt>
                <c:pt idx="122">
                  <c:v>169.82436524617444</c:v>
                </c:pt>
                <c:pt idx="123">
                  <c:v>173.78008287493768</c:v>
                </c:pt>
                <c:pt idx="124">
                  <c:v>177.82794100389242</c:v>
                </c:pt>
                <c:pt idx="125">
                  <c:v>181.9700858609983</c:v>
                </c:pt>
                <c:pt idx="126">
                  <c:v>186.20871366628685</c:v>
                </c:pt>
                <c:pt idx="127">
                  <c:v>190.54607179632498</c:v>
                </c:pt>
                <c:pt idx="128">
                  <c:v>194.98445997580458</c:v>
                </c:pt>
                <c:pt idx="129">
                  <c:v>199.52623149688802</c:v>
                </c:pt>
                <c:pt idx="130">
                  <c:v>204.17379446695315</c:v>
                </c:pt>
                <c:pt idx="131">
                  <c:v>208.92961308540396</c:v>
                </c:pt>
                <c:pt idx="132">
                  <c:v>213.79620895022339</c:v>
                </c:pt>
                <c:pt idx="133">
                  <c:v>218.77616239495524</c:v>
                </c:pt>
                <c:pt idx="134">
                  <c:v>223.87211385683412</c:v>
                </c:pt>
                <c:pt idx="135">
                  <c:v>229.08676527677744</c:v>
                </c:pt>
                <c:pt idx="136">
                  <c:v>234.42288153199232</c:v>
                </c:pt>
                <c:pt idx="137">
                  <c:v>239.88329190194912</c:v>
                </c:pt>
                <c:pt idx="138">
                  <c:v>245.4708915685033</c:v>
                </c:pt>
                <c:pt idx="139">
                  <c:v>251.18864315095806</c:v>
                </c:pt>
                <c:pt idx="140">
                  <c:v>257.03957827688663</c:v>
                </c:pt>
                <c:pt idx="141">
                  <c:v>263.02679918953817</c:v>
                </c:pt>
                <c:pt idx="142">
                  <c:v>269.15348039269179</c:v>
                </c:pt>
                <c:pt idx="143">
                  <c:v>275.42287033381683</c:v>
                </c:pt>
                <c:pt idx="144">
                  <c:v>281.83829312644554</c:v>
                </c:pt>
                <c:pt idx="145">
                  <c:v>288.40315031266073</c:v>
                </c:pt>
                <c:pt idx="146">
                  <c:v>295.12092266663871</c:v>
                </c:pt>
                <c:pt idx="147">
                  <c:v>301.99517204020168</c:v>
                </c:pt>
                <c:pt idx="148">
                  <c:v>309.02954325135937</c:v>
                </c:pt>
                <c:pt idx="149">
                  <c:v>316.22776601683825</c:v>
                </c:pt>
                <c:pt idx="150">
                  <c:v>323.59365692962825</c:v>
                </c:pt>
                <c:pt idx="151">
                  <c:v>331.13112148259137</c:v>
                </c:pt>
                <c:pt idx="152">
                  <c:v>338.84415613920277</c:v>
                </c:pt>
                <c:pt idx="153">
                  <c:v>346.73685045253183</c:v>
                </c:pt>
                <c:pt idx="154">
                  <c:v>354.81338923357566</c:v>
                </c:pt>
                <c:pt idx="155">
                  <c:v>363.07805477010152</c:v>
                </c:pt>
                <c:pt idx="156">
                  <c:v>371.53522909717265</c:v>
                </c:pt>
                <c:pt idx="157">
                  <c:v>380.18939632056163</c:v>
                </c:pt>
                <c:pt idx="158">
                  <c:v>389.04514499428063</c:v>
                </c:pt>
                <c:pt idx="159">
                  <c:v>398.10717055349761</c:v>
                </c:pt>
                <c:pt idx="160">
                  <c:v>407.38027780411272</c:v>
                </c:pt>
                <c:pt idx="161">
                  <c:v>416.86938347033572</c:v>
                </c:pt>
                <c:pt idx="162">
                  <c:v>426.57951880159294</c:v>
                </c:pt>
                <c:pt idx="163">
                  <c:v>436.51583224016622</c:v>
                </c:pt>
                <c:pt idx="164">
                  <c:v>446.68359215096331</c:v>
                </c:pt>
                <c:pt idx="165">
                  <c:v>457.0881896148756</c:v>
                </c:pt>
                <c:pt idx="166">
                  <c:v>467.7351412871983</c:v>
                </c:pt>
                <c:pt idx="167">
                  <c:v>478.63009232263886</c:v>
                </c:pt>
                <c:pt idx="168">
                  <c:v>489.77881936844625</c:v>
                </c:pt>
                <c:pt idx="169">
                  <c:v>501.18723362727269</c:v>
                </c:pt>
                <c:pt idx="170">
                  <c:v>512.86138399136519</c:v>
                </c:pt>
                <c:pt idx="171">
                  <c:v>524.80746024977248</c:v>
                </c:pt>
                <c:pt idx="172">
                  <c:v>537.03179637025301</c:v>
                </c:pt>
                <c:pt idx="173">
                  <c:v>549.54087385762534</c:v>
                </c:pt>
                <c:pt idx="174">
                  <c:v>562.34132519034927</c:v>
                </c:pt>
                <c:pt idx="175">
                  <c:v>575.43993733715706</c:v>
                </c:pt>
                <c:pt idx="176">
                  <c:v>588.84365535558959</c:v>
                </c:pt>
                <c:pt idx="177">
                  <c:v>602.55958607435832</c:v>
                </c:pt>
                <c:pt idx="178">
                  <c:v>616.59500186148273</c:v>
                </c:pt>
                <c:pt idx="179">
                  <c:v>630.95734448019323</c:v>
                </c:pt>
                <c:pt idx="180">
                  <c:v>645.65422903465594</c:v>
                </c:pt>
                <c:pt idx="181">
                  <c:v>660.69344800759643</c:v>
                </c:pt>
                <c:pt idx="182">
                  <c:v>676.08297539198213</c:v>
                </c:pt>
                <c:pt idx="183">
                  <c:v>691.83097091893671</c:v>
                </c:pt>
                <c:pt idx="184">
                  <c:v>707.94578438413873</c:v>
                </c:pt>
                <c:pt idx="185">
                  <c:v>724.43596007499025</c:v>
                </c:pt>
                <c:pt idx="186">
                  <c:v>741.31024130091828</c:v>
                </c:pt>
                <c:pt idx="187">
                  <c:v>758.57757502918378</c:v>
                </c:pt>
                <c:pt idx="188">
                  <c:v>776.24711662869231</c:v>
                </c:pt>
                <c:pt idx="189">
                  <c:v>794.32823472428208</c:v>
                </c:pt>
                <c:pt idx="190">
                  <c:v>812.83051616409978</c:v>
                </c:pt>
                <c:pt idx="191">
                  <c:v>831.7637711026714</c:v>
                </c:pt>
                <c:pt idx="192">
                  <c:v>851.13803820237763</c:v>
                </c:pt>
                <c:pt idx="193">
                  <c:v>870.96358995608091</c:v>
                </c:pt>
                <c:pt idx="194">
                  <c:v>891.25093813374656</c:v>
                </c:pt>
                <c:pt idx="195">
                  <c:v>912.01083935590987</c:v>
                </c:pt>
                <c:pt idx="196">
                  <c:v>933.25430079699106</c:v>
                </c:pt>
                <c:pt idx="197">
                  <c:v>954.99258602143675</c:v>
                </c:pt>
                <c:pt idx="198">
                  <c:v>977.23722095581138</c:v>
                </c:pt>
                <c:pt idx="199">
                  <c:v>1000</c:v>
                </c:pt>
                <c:pt idx="200">
                  <c:v>1023.2929922807547</c:v>
                </c:pt>
                <c:pt idx="201">
                  <c:v>1047.1285480509</c:v>
                </c:pt>
                <c:pt idx="202">
                  <c:v>1071.5193052376069</c:v>
                </c:pt>
                <c:pt idx="203">
                  <c:v>1096.4781961431863</c:v>
                </c:pt>
                <c:pt idx="204">
                  <c:v>1122.0184543019636</c:v>
                </c:pt>
                <c:pt idx="205">
                  <c:v>1148.1536214968839</c:v>
                </c:pt>
                <c:pt idx="206">
                  <c:v>1174.8975549395295</c:v>
                </c:pt>
                <c:pt idx="207">
                  <c:v>1202.2644346174138</c:v>
                </c:pt>
                <c:pt idx="208">
                  <c:v>1230.2687708123824</c:v>
                </c:pt>
                <c:pt idx="209">
                  <c:v>1258.925411794168</c:v>
                </c:pt>
                <c:pt idx="210">
                  <c:v>1288.2495516931347</c:v>
                </c:pt>
                <c:pt idx="211">
                  <c:v>1318.2567385564089</c:v>
                </c:pt>
                <c:pt idx="212">
                  <c:v>1348.9628825916541</c:v>
                </c:pt>
                <c:pt idx="213">
                  <c:v>1380.3842646028863</c:v>
                </c:pt>
                <c:pt idx="214">
                  <c:v>1412.5375446227545</c:v>
                </c:pt>
                <c:pt idx="215">
                  <c:v>1445.4397707459289</c:v>
                </c:pt>
                <c:pt idx="216">
                  <c:v>1479.1083881682086</c:v>
                </c:pt>
                <c:pt idx="217">
                  <c:v>1513.5612484362093</c:v>
                </c:pt>
                <c:pt idx="218">
                  <c:v>1548.8166189124822</c:v>
                </c:pt>
                <c:pt idx="219">
                  <c:v>1584.8931924611156</c:v>
                </c:pt>
                <c:pt idx="220">
                  <c:v>1621.8100973589308</c:v>
                </c:pt>
                <c:pt idx="221">
                  <c:v>1659.5869074375626</c:v>
                </c:pt>
                <c:pt idx="222">
                  <c:v>1698.2436524617447</c:v>
                </c:pt>
                <c:pt idx="223">
                  <c:v>1737.8008287493772</c:v>
                </c:pt>
                <c:pt idx="224">
                  <c:v>1778.2794100389244</c:v>
                </c:pt>
                <c:pt idx="225">
                  <c:v>1819.7008586099832</c:v>
                </c:pt>
                <c:pt idx="226">
                  <c:v>1862.0871366628687</c:v>
                </c:pt>
                <c:pt idx="227">
                  <c:v>1905.4607179632501</c:v>
                </c:pt>
                <c:pt idx="228">
                  <c:v>1949.8445997580463</c:v>
                </c:pt>
                <c:pt idx="229">
                  <c:v>1995.2623149688804</c:v>
                </c:pt>
                <c:pt idx="230">
                  <c:v>2041.7379446695318</c:v>
                </c:pt>
                <c:pt idx="231">
                  <c:v>2089.2961308540398</c:v>
                </c:pt>
                <c:pt idx="232">
                  <c:v>2137.9620895022344</c:v>
                </c:pt>
                <c:pt idx="233">
                  <c:v>2187.7616239495528</c:v>
                </c:pt>
                <c:pt idx="234">
                  <c:v>2238.7211385683418</c:v>
                </c:pt>
                <c:pt idx="235">
                  <c:v>2290.8676527677749</c:v>
                </c:pt>
                <c:pt idx="236">
                  <c:v>2344.2288153199238</c:v>
                </c:pt>
                <c:pt idx="237">
                  <c:v>2398.8329190194918</c:v>
                </c:pt>
                <c:pt idx="238">
                  <c:v>2454.7089156850338</c:v>
                </c:pt>
                <c:pt idx="239">
                  <c:v>2511.8864315095811</c:v>
                </c:pt>
                <c:pt idx="240">
                  <c:v>2570.3957827688669</c:v>
                </c:pt>
                <c:pt idx="241">
                  <c:v>2630.2679918953822</c:v>
                </c:pt>
                <c:pt idx="242">
                  <c:v>2691.5348039269184</c:v>
                </c:pt>
                <c:pt idx="243">
                  <c:v>2754.228703338169</c:v>
                </c:pt>
                <c:pt idx="244">
                  <c:v>2818.3829312644561</c:v>
                </c:pt>
                <c:pt idx="245">
                  <c:v>2884.0315031266077</c:v>
                </c:pt>
                <c:pt idx="246">
                  <c:v>2951.2092266663876</c:v>
                </c:pt>
                <c:pt idx="247">
                  <c:v>3019.9517204020176</c:v>
                </c:pt>
                <c:pt idx="248">
                  <c:v>3090.295432513592</c:v>
                </c:pt>
                <c:pt idx="249">
                  <c:v>3162.2776601683804</c:v>
                </c:pt>
                <c:pt idx="250">
                  <c:v>3235.9365692962833</c:v>
                </c:pt>
                <c:pt idx="251">
                  <c:v>3311.3112148259115</c:v>
                </c:pt>
                <c:pt idx="252">
                  <c:v>3388.4415613920314</c:v>
                </c:pt>
                <c:pt idx="253">
                  <c:v>3467.3685045253224</c:v>
                </c:pt>
                <c:pt idx="254">
                  <c:v>3548.1338923357539</c:v>
                </c:pt>
                <c:pt idx="255">
                  <c:v>3630.7805477010188</c:v>
                </c:pt>
                <c:pt idx="256">
                  <c:v>3715.352290971724</c:v>
                </c:pt>
                <c:pt idx="257">
                  <c:v>3801.8939632056172</c:v>
                </c:pt>
                <c:pt idx="258">
                  <c:v>3890.451449942811</c:v>
                </c:pt>
                <c:pt idx="259">
                  <c:v>3981.0717055349769</c:v>
                </c:pt>
                <c:pt idx="260">
                  <c:v>4073.8027780411317</c:v>
                </c:pt>
                <c:pt idx="261">
                  <c:v>4168.6938347033583</c:v>
                </c:pt>
                <c:pt idx="262">
                  <c:v>4265.7951880159299</c:v>
                </c:pt>
                <c:pt idx="263">
                  <c:v>4365.1583224016631</c:v>
                </c:pt>
                <c:pt idx="264">
                  <c:v>4466.8359215096343</c:v>
                </c:pt>
                <c:pt idx="265">
                  <c:v>4570.8818961487532</c:v>
                </c:pt>
                <c:pt idx="266">
                  <c:v>4677.3514128719844</c:v>
                </c:pt>
                <c:pt idx="267">
                  <c:v>4786.3009232263848</c:v>
                </c:pt>
                <c:pt idx="268">
                  <c:v>4897.7881936844633</c:v>
                </c:pt>
                <c:pt idx="269">
                  <c:v>5011.8723362727324</c:v>
                </c:pt>
                <c:pt idx="270">
                  <c:v>5128.6138399136489</c:v>
                </c:pt>
                <c:pt idx="271">
                  <c:v>5248.0746024977261</c:v>
                </c:pt>
                <c:pt idx="272">
                  <c:v>5370.3179637025269</c:v>
                </c:pt>
                <c:pt idx="273">
                  <c:v>5495.4087385762541</c:v>
                </c:pt>
                <c:pt idx="274">
                  <c:v>5623.4132519034993</c:v>
                </c:pt>
                <c:pt idx="275">
                  <c:v>5754.399373371567</c:v>
                </c:pt>
                <c:pt idx="276">
                  <c:v>5888.4365535558973</c:v>
                </c:pt>
                <c:pt idx="277">
                  <c:v>6025.595860743585</c:v>
                </c:pt>
                <c:pt idx="278">
                  <c:v>6165.9500186148289</c:v>
                </c:pt>
                <c:pt idx="279">
                  <c:v>6309.5734448019384</c:v>
                </c:pt>
                <c:pt idx="280">
                  <c:v>6456.5422903465615</c:v>
                </c:pt>
                <c:pt idx="281">
                  <c:v>6606.9344800759654</c:v>
                </c:pt>
                <c:pt idx="282">
                  <c:v>6760.8297539198229</c:v>
                </c:pt>
                <c:pt idx="283">
                  <c:v>6918.3097091893687</c:v>
                </c:pt>
                <c:pt idx="284">
                  <c:v>7079.4578438413828</c:v>
                </c:pt>
                <c:pt idx="285">
                  <c:v>7244.3596007499036</c:v>
                </c:pt>
                <c:pt idx="286">
                  <c:v>7413.1024130091773</c:v>
                </c:pt>
                <c:pt idx="287">
                  <c:v>7585.7757502918394</c:v>
                </c:pt>
                <c:pt idx="288">
                  <c:v>7762.4711662869322</c:v>
                </c:pt>
                <c:pt idx="289">
                  <c:v>7943.2823472428154</c:v>
                </c:pt>
                <c:pt idx="290">
                  <c:v>8128.3051616410066</c:v>
                </c:pt>
                <c:pt idx="291">
                  <c:v>8317.6377110267094</c:v>
                </c:pt>
                <c:pt idx="292">
                  <c:v>8511.3803820237772</c:v>
                </c:pt>
                <c:pt idx="293">
                  <c:v>8709.6358995608189</c:v>
                </c:pt>
                <c:pt idx="294">
                  <c:v>8912.5093813374679</c:v>
                </c:pt>
                <c:pt idx="295">
                  <c:v>9120.1083935591087</c:v>
                </c:pt>
                <c:pt idx="296">
                  <c:v>9332.5430079699217</c:v>
                </c:pt>
                <c:pt idx="297">
                  <c:v>9549.9258602143691</c:v>
                </c:pt>
                <c:pt idx="298">
                  <c:v>9772.3722095581161</c:v>
                </c:pt>
                <c:pt idx="299">
                  <c:v>10000</c:v>
                </c:pt>
                <c:pt idx="300">
                  <c:v>10232.929922807549</c:v>
                </c:pt>
                <c:pt idx="301">
                  <c:v>10471.285480509003</c:v>
                </c:pt>
                <c:pt idx="302">
                  <c:v>10715.193052376071</c:v>
                </c:pt>
                <c:pt idx="303">
                  <c:v>10964.781961431856</c:v>
                </c:pt>
                <c:pt idx="304">
                  <c:v>11220.184543019639</c:v>
                </c:pt>
                <c:pt idx="305">
                  <c:v>11481.536214968832</c:v>
                </c:pt>
                <c:pt idx="306">
                  <c:v>11748.975549395318</c:v>
                </c:pt>
                <c:pt idx="307">
                  <c:v>12022.644346174151</c:v>
                </c:pt>
                <c:pt idx="308">
                  <c:v>12302.687708123816</c:v>
                </c:pt>
                <c:pt idx="309">
                  <c:v>12589.254117941671</c:v>
                </c:pt>
                <c:pt idx="310">
                  <c:v>12882.49551693136</c:v>
                </c:pt>
                <c:pt idx="311">
                  <c:v>13182.567385564091</c:v>
                </c:pt>
                <c:pt idx="312">
                  <c:v>13489.628825916556</c:v>
                </c:pt>
                <c:pt idx="313">
                  <c:v>13803.842646028841</c:v>
                </c:pt>
                <c:pt idx="314">
                  <c:v>14125.375446227561</c:v>
                </c:pt>
                <c:pt idx="315">
                  <c:v>14454.397707459291</c:v>
                </c:pt>
                <c:pt idx="316">
                  <c:v>14791.083881682089</c:v>
                </c:pt>
                <c:pt idx="317">
                  <c:v>15135.612484362096</c:v>
                </c:pt>
                <c:pt idx="318">
                  <c:v>15488.166189124853</c:v>
                </c:pt>
                <c:pt idx="319">
                  <c:v>15848.931924611146</c:v>
                </c:pt>
                <c:pt idx="320">
                  <c:v>16218.100973589309</c:v>
                </c:pt>
                <c:pt idx="321">
                  <c:v>16595.869074375616</c:v>
                </c:pt>
                <c:pt idx="322">
                  <c:v>16982.436524617482</c:v>
                </c:pt>
                <c:pt idx="323">
                  <c:v>17378.008287493791</c:v>
                </c:pt>
                <c:pt idx="324">
                  <c:v>17782.794100389234</c:v>
                </c:pt>
                <c:pt idx="325">
                  <c:v>18197.008586099837</c:v>
                </c:pt>
                <c:pt idx="326">
                  <c:v>18620.871366628675</c:v>
                </c:pt>
                <c:pt idx="327">
                  <c:v>19054.607179632505</c:v>
                </c:pt>
                <c:pt idx="328">
                  <c:v>19498.445997580486</c:v>
                </c:pt>
                <c:pt idx="329">
                  <c:v>19952.623149688792</c:v>
                </c:pt>
                <c:pt idx="330">
                  <c:v>20417.379446695286</c:v>
                </c:pt>
                <c:pt idx="331">
                  <c:v>20892.961308540423</c:v>
                </c:pt>
                <c:pt idx="332">
                  <c:v>21379.620895022348</c:v>
                </c:pt>
                <c:pt idx="333">
                  <c:v>21877.61623949555</c:v>
                </c:pt>
                <c:pt idx="334">
                  <c:v>22387.211385683382</c:v>
                </c:pt>
                <c:pt idx="335">
                  <c:v>22908.676527677751</c:v>
                </c:pt>
                <c:pt idx="336">
                  <c:v>23442.288153199243</c:v>
                </c:pt>
                <c:pt idx="337">
                  <c:v>23988.329190194923</c:v>
                </c:pt>
                <c:pt idx="338">
                  <c:v>24547.089156850321</c:v>
                </c:pt>
                <c:pt idx="339">
                  <c:v>25118.86431509586</c:v>
                </c:pt>
                <c:pt idx="340">
                  <c:v>25703.95782768865</c:v>
                </c:pt>
                <c:pt idx="341">
                  <c:v>26302.679918953829</c:v>
                </c:pt>
                <c:pt idx="342">
                  <c:v>26915.348039269167</c:v>
                </c:pt>
                <c:pt idx="343">
                  <c:v>27542.287033381719</c:v>
                </c:pt>
                <c:pt idx="344">
                  <c:v>28183.829312644593</c:v>
                </c:pt>
                <c:pt idx="345">
                  <c:v>28840.315031266062</c:v>
                </c:pt>
                <c:pt idx="346">
                  <c:v>29512.092266663854</c:v>
                </c:pt>
                <c:pt idx="347">
                  <c:v>30199.517204020212</c:v>
                </c:pt>
                <c:pt idx="348">
                  <c:v>30902.954325135954</c:v>
                </c:pt>
                <c:pt idx="349">
                  <c:v>31622.77660168384</c:v>
                </c:pt>
                <c:pt idx="350">
                  <c:v>32359.365692962871</c:v>
                </c:pt>
                <c:pt idx="351">
                  <c:v>33113.11214825909</c:v>
                </c:pt>
                <c:pt idx="352">
                  <c:v>33884.41561392029</c:v>
                </c:pt>
                <c:pt idx="353">
                  <c:v>34673.685045253202</c:v>
                </c:pt>
                <c:pt idx="354">
                  <c:v>35481.33892335758</c:v>
                </c:pt>
                <c:pt idx="355">
                  <c:v>36307.805477010232</c:v>
                </c:pt>
                <c:pt idx="356">
                  <c:v>37153.522909717351</c:v>
                </c:pt>
                <c:pt idx="357">
                  <c:v>38018.939632056143</c:v>
                </c:pt>
                <c:pt idx="358">
                  <c:v>38904.514499428085</c:v>
                </c:pt>
                <c:pt idx="359">
                  <c:v>39810.717055349742</c:v>
                </c:pt>
                <c:pt idx="360">
                  <c:v>40738.027780411358</c:v>
                </c:pt>
                <c:pt idx="361">
                  <c:v>41686.938347033625</c:v>
                </c:pt>
                <c:pt idx="362">
                  <c:v>42657.951880159271</c:v>
                </c:pt>
                <c:pt idx="363">
                  <c:v>43651.583224016598</c:v>
                </c:pt>
                <c:pt idx="364">
                  <c:v>44668.359215096389</c:v>
                </c:pt>
                <c:pt idx="365">
                  <c:v>45708.818961487581</c:v>
                </c:pt>
                <c:pt idx="366">
                  <c:v>46773.514128719893</c:v>
                </c:pt>
                <c:pt idx="367">
                  <c:v>47863.009232263823</c:v>
                </c:pt>
                <c:pt idx="368">
                  <c:v>48977.881936844598</c:v>
                </c:pt>
                <c:pt idx="369">
                  <c:v>50118.723362727294</c:v>
                </c:pt>
                <c:pt idx="370">
                  <c:v>51286.138399136544</c:v>
                </c:pt>
                <c:pt idx="371">
                  <c:v>52480.746024977314</c:v>
                </c:pt>
                <c:pt idx="372">
                  <c:v>53703.179637025423</c:v>
                </c:pt>
                <c:pt idx="373">
                  <c:v>54954.087385762505</c:v>
                </c:pt>
                <c:pt idx="374">
                  <c:v>56234.132519034953</c:v>
                </c:pt>
                <c:pt idx="375">
                  <c:v>57543.993733715732</c:v>
                </c:pt>
                <c:pt idx="376">
                  <c:v>58884.365535558936</c:v>
                </c:pt>
                <c:pt idx="377">
                  <c:v>60255.95860743591</c:v>
                </c:pt>
                <c:pt idx="378">
                  <c:v>61659.500186148245</c:v>
                </c:pt>
                <c:pt idx="379">
                  <c:v>63095.734448019342</c:v>
                </c:pt>
                <c:pt idx="380">
                  <c:v>64565.422903465682</c:v>
                </c:pt>
                <c:pt idx="381">
                  <c:v>66069.344800759733</c:v>
                </c:pt>
                <c:pt idx="382">
                  <c:v>67608.297539198305</c:v>
                </c:pt>
                <c:pt idx="383">
                  <c:v>69183.097091893651</c:v>
                </c:pt>
                <c:pt idx="384">
                  <c:v>70794.578438413781</c:v>
                </c:pt>
                <c:pt idx="385">
                  <c:v>72443.596007499116</c:v>
                </c:pt>
                <c:pt idx="386">
                  <c:v>74131.024130091857</c:v>
                </c:pt>
                <c:pt idx="387">
                  <c:v>75857.757502918481</c:v>
                </c:pt>
                <c:pt idx="388">
                  <c:v>77624.711662869129</c:v>
                </c:pt>
                <c:pt idx="389">
                  <c:v>79432.823472428237</c:v>
                </c:pt>
                <c:pt idx="390">
                  <c:v>81283.051616410012</c:v>
                </c:pt>
                <c:pt idx="391">
                  <c:v>83176.377110267174</c:v>
                </c:pt>
                <c:pt idx="392">
                  <c:v>85113.803820237721</c:v>
                </c:pt>
                <c:pt idx="393">
                  <c:v>87096.358995608127</c:v>
                </c:pt>
                <c:pt idx="394">
                  <c:v>89125.093813374609</c:v>
                </c:pt>
                <c:pt idx="395">
                  <c:v>91201.083935591028</c:v>
                </c:pt>
                <c:pt idx="396">
                  <c:v>93325.430079699145</c:v>
                </c:pt>
                <c:pt idx="397">
                  <c:v>95499.258602143804</c:v>
                </c:pt>
                <c:pt idx="398">
                  <c:v>97723.722095581266</c:v>
                </c:pt>
                <c:pt idx="399">
                  <c:v>100000</c:v>
                </c:pt>
                <c:pt idx="400">
                  <c:v>102329.29922807543</c:v>
                </c:pt>
                <c:pt idx="401">
                  <c:v>104712.85480508996</c:v>
                </c:pt>
                <c:pt idx="402">
                  <c:v>107151.93052376082</c:v>
                </c:pt>
                <c:pt idx="403">
                  <c:v>109647.81961431868</c:v>
                </c:pt>
                <c:pt idx="404">
                  <c:v>112201.84543019651</c:v>
                </c:pt>
                <c:pt idx="405">
                  <c:v>114815.36214968823</c:v>
                </c:pt>
                <c:pt idx="406">
                  <c:v>117489.75549395311</c:v>
                </c:pt>
                <c:pt idx="407">
                  <c:v>120226.44346174144</c:v>
                </c:pt>
                <c:pt idx="408">
                  <c:v>123026.87708123829</c:v>
                </c:pt>
                <c:pt idx="409">
                  <c:v>125892.54117941685</c:v>
                </c:pt>
                <c:pt idx="410">
                  <c:v>128824.95516931375</c:v>
                </c:pt>
                <c:pt idx="411">
                  <c:v>131825.67385564081</c:v>
                </c:pt>
                <c:pt idx="412">
                  <c:v>134896.28825916545</c:v>
                </c:pt>
                <c:pt idx="413">
                  <c:v>138038.42646028858</c:v>
                </c:pt>
                <c:pt idx="414">
                  <c:v>141253.75446227577</c:v>
                </c:pt>
                <c:pt idx="415">
                  <c:v>144543.97707459307</c:v>
                </c:pt>
                <c:pt idx="416">
                  <c:v>147910.83881682079</c:v>
                </c:pt>
                <c:pt idx="417">
                  <c:v>151356.12484362084</c:v>
                </c:pt>
                <c:pt idx="418">
                  <c:v>154881.66189124843</c:v>
                </c:pt>
                <c:pt idx="419">
                  <c:v>158489.31924611164</c:v>
                </c:pt>
                <c:pt idx="420">
                  <c:v>162181.00973589328</c:v>
                </c:pt>
                <c:pt idx="421">
                  <c:v>165958.69074375604</c:v>
                </c:pt>
                <c:pt idx="422">
                  <c:v>169824.36524617471</c:v>
                </c:pt>
                <c:pt idx="423">
                  <c:v>173780.0828749378</c:v>
                </c:pt>
                <c:pt idx="424">
                  <c:v>177827.94100389251</c:v>
                </c:pt>
                <c:pt idx="425">
                  <c:v>181970.08586099857</c:v>
                </c:pt>
                <c:pt idx="426">
                  <c:v>186208.71366628664</c:v>
                </c:pt>
                <c:pt idx="427">
                  <c:v>190546.07179632492</c:v>
                </c:pt>
                <c:pt idx="428">
                  <c:v>194984.45997580473</c:v>
                </c:pt>
                <c:pt idx="429">
                  <c:v>199526.23149688813</c:v>
                </c:pt>
                <c:pt idx="430">
                  <c:v>204173.79446695308</c:v>
                </c:pt>
                <c:pt idx="431">
                  <c:v>208929.61308540447</c:v>
                </c:pt>
                <c:pt idx="432">
                  <c:v>213796.20895022334</c:v>
                </c:pt>
                <c:pt idx="433">
                  <c:v>218776.16239495538</c:v>
                </c:pt>
                <c:pt idx="434">
                  <c:v>223872.11385683404</c:v>
                </c:pt>
                <c:pt idx="435">
                  <c:v>229086.76527677779</c:v>
                </c:pt>
                <c:pt idx="436">
                  <c:v>234422.88153199267</c:v>
                </c:pt>
                <c:pt idx="437">
                  <c:v>239883.29190194907</c:v>
                </c:pt>
                <c:pt idx="438">
                  <c:v>245470.89156850305</c:v>
                </c:pt>
                <c:pt idx="439">
                  <c:v>251188.64315095844</c:v>
                </c:pt>
                <c:pt idx="440">
                  <c:v>257039.57827688678</c:v>
                </c:pt>
                <c:pt idx="441">
                  <c:v>263026.79918953858</c:v>
                </c:pt>
                <c:pt idx="442">
                  <c:v>269153.48039269145</c:v>
                </c:pt>
                <c:pt idx="443">
                  <c:v>275422.87033381703</c:v>
                </c:pt>
                <c:pt idx="444">
                  <c:v>281838.29312644573</c:v>
                </c:pt>
                <c:pt idx="445">
                  <c:v>288403.1503126609</c:v>
                </c:pt>
                <c:pt idx="446">
                  <c:v>295120.92266663886</c:v>
                </c:pt>
                <c:pt idx="447">
                  <c:v>301995.17204020242</c:v>
                </c:pt>
                <c:pt idx="448">
                  <c:v>309029.54325135931</c:v>
                </c:pt>
                <c:pt idx="449">
                  <c:v>316227.7660168382</c:v>
                </c:pt>
                <c:pt idx="450">
                  <c:v>323593.65692962846</c:v>
                </c:pt>
                <c:pt idx="451">
                  <c:v>331131.12148259126</c:v>
                </c:pt>
                <c:pt idx="452">
                  <c:v>338844.15613920329</c:v>
                </c:pt>
                <c:pt idx="453">
                  <c:v>346736.85045253241</c:v>
                </c:pt>
                <c:pt idx="454">
                  <c:v>354813.38923357555</c:v>
                </c:pt>
                <c:pt idx="455">
                  <c:v>363078.05477010203</c:v>
                </c:pt>
                <c:pt idx="456">
                  <c:v>371535.2290971732</c:v>
                </c:pt>
                <c:pt idx="457">
                  <c:v>380189.39632056188</c:v>
                </c:pt>
                <c:pt idx="458">
                  <c:v>389045.14499428123</c:v>
                </c:pt>
                <c:pt idx="459">
                  <c:v>398107.17055349716</c:v>
                </c:pt>
                <c:pt idx="460">
                  <c:v>407380.27780411334</c:v>
                </c:pt>
                <c:pt idx="461">
                  <c:v>416869.38347033598</c:v>
                </c:pt>
                <c:pt idx="462">
                  <c:v>426579.51880159322</c:v>
                </c:pt>
                <c:pt idx="463">
                  <c:v>436515.83224016649</c:v>
                </c:pt>
                <c:pt idx="464">
                  <c:v>446683.59215096442</c:v>
                </c:pt>
                <c:pt idx="465">
                  <c:v>457088.18961487547</c:v>
                </c:pt>
                <c:pt idx="466">
                  <c:v>467735.14128719864</c:v>
                </c:pt>
                <c:pt idx="467">
                  <c:v>478630.09232263872</c:v>
                </c:pt>
                <c:pt idx="468">
                  <c:v>489778.81936844654</c:v>
                </c:pt>
                <c:pt idx="469">
                  <c:v>501187.23362727347</c:v>
                </c:pt>
                <c:pt idx="470">
                  <c:v>512861.38399136515</c:v>
                </c:pt>
                <c:pt idx="471">
                  <c:v>524807.46024977288</c:v>
                </c:pt>
                <c:pt idx="472">
                  <c:v>537031.7963702539</c:v>
                </c:pt>
                <c:pt idx="473">
                  <c:v>549540.87385762564</c:v>
                </c:pt>
                <c:pt idx="474">
                  <c:v>562341.32519035018</c:v>
                </c:pt>
                <c:pt idx="475">
                  <c:v>575439.93733715697</c:v>
                </c:pt>
                <c:pt idx="476">
                  <c:v>588843.65535558888</c:v>
                </c:pt>
                <c:pt idx="477">
                  <c:v>602559.58607435878</c:v>
                </c:pt>
                <c:pt idx="478">
                  <c:v>616595.00186148309</c:v>
                </c:pt>
                <c:pt idx="479">
                  <c:v>630957.34448019415</c:v>
                </c:pt>
                <c:pt idx="480">
                  <c:v>645654.22903465747</c:v>
                </c:pt>
                <c:pt idx="481">
                  <c:v>660693.44800759677</c:v>
                </c:pt>
                <c:pt idx="482">
                  <c:v>676082.97539198259</c:v>
                </c:pt>
                <c:pt idx="483">
                  <c:v>691830.97091893724</c:v>
                </c:pt>
                <c:pt idx="484">
                  <c:v>707945.78438413853</c:v>
                </c:pt>
                <c:pt idx="485">
                  <c:v>724435.96007499192</c:v>
                </c:pt>
                <c:pt idx="486">
                  <c:v>741310.24130091805</c:v>
                </c:pt>
                <c:pt idx="487">
                  <c:v>758577.57502918423</c:v>
                </c:pt>
                <c:pt idx="488">
                  <c:v>776247.11662869214</c:v>
                </c:pt>
                <c:pt idx="489">
                  <c:v>794328.23472428333</c:v>
                </c:pt>
                <c:pt idx="490">
                  <c:v>812830.51616410096</c:v>
                </c:pt>
                <c:pt idx="491">
                  <c:v>831763.77110267128</c:v>
                </c:pt>
                <c:pt idx="492">
                  <c:v>851138.03820237669</c:v>
                </c:pt>
                <c:pt idx="493">
                  <c:v>870963.58995608077</c:v>
                </c:pt>
                <c:pt idx="494">
                  <c:v>891250.93813374708</c:v>
                </c:pt>
                <c:pt idx="495">
                  <c:v>912010.83935591124</c:v>
                </c:pt>
                <c:pt idx="496">
                  <c:v>933254.30079699249</c:v>
                </c:pt>
                <c:pt idx="497">
                  <c:v>954992.58602143743</c:v>
                </c:pt>
                <c:pt idx="498">
                  <c:v>977237.22095581202</c:v>
                </c:pt>
                <c:pt idx="499">
                  <c:v>1000000</c:v>
                </c:pt>
                <c:pt idx="500">
                  <c:v>1023292.9922807553</c:v>
                </c:pt>
                <c:pt idx="501">
                  <c:v>1047128.5480509007</c:v>
                </c:pt>
                <c:pt idx="502">
                  <c:v>1071519.3052376076</c:v>
                </c:pt>
                <c:pt idx="503">
                  <c:v>1096478.196143186</c:v>
                </c:pt>
                <c:pt idx="504">
                  <c:v>1122018.4543019643</c:v>
                </c:pt>
                <c:pt idx="505">
                  <c:v>1148153.6214968837</c:v>
                </c:pt>
                <c:pt idx="506">
                  <c:v>1174897.5549395324</c:v>
                </c:pt>
                <c:pt idx="507">
                  <c:v>1202264.4346174158</c:v>
                </c:pt>
                <c:pt idx="508">
                  <c:v>1230268.770812382</c:v>
                </c:pt>
                <c:pt idx="509">
                  <c:v>1258925.4117941677</c:v>
                </c:pt>
                <c:pt idx="510">
                  <c:v>1288249.5516931366</c:v>
                </c:pt>
                <c:pt idx="511">
                  <c:v>1318256.7385564097</c:v>
                </c:pt>
                <c:pt idx="512">
                  <c:v>1348962.8825916562</c:v>
                </c:pt>
                <c:pt idx="513">
                  <c:v>1380384.2646028849</c:v>
                </c:pt>
                <c:pt idx="514">
                  <c:v>1412537.5446227565</c:v>
                </c:pt>
                <c:pt idx="515">
                  <c:v>1445439.7707459298</c:v>
                </c:pt>
                <c:pt idx="516">
                  <c:v>1479108.3881682095</c:v>
                </c:pt>
                <c:pt idx="517">
                  <c:v>1513561.2484362102</c:v>
                </c:pt>
                <c:pt idx="518">
                  <c:v>1548816.6189124861</c:v>
                </c:pt>
                <c:pt idx="519">
                  <c:v>1584893.1924611153</c:v>
                </c:pt>
                <c:pt idx="520">
                  <c:v>1621810.0973589318</c:v>
                </c:pt>
                <c:pt idx="521">
                  <c:v>1659586.9074375622</c:v>
                </c:pt>
                <c:pt idx="522">
                  <c:v>1698243.6524617488</c:v>
                </c:pt>
                <c:pt idx="523">
                  <c:v>1737800.8287493798</c:v>
                </c:pt>
                <c:pt idx="524">
                  <c:v>1778279.4100389241</c:v>
                </c:pt>
                <c:pt idx="525">
                  <c:v>1819700.8586099846</c:v>
                </c:pt>
                <c:pt idx="526">
                  <c:v>1862087.1366628683</c:v>
                </c:pt>
                <c:pt idx="527">
                  <c:v>1905460.7179632513</c:v>
                </c:pt>
                <c:pt idx="528">
                  <c:v>1949844.5997580495</c:v>
                </c:pt>
                <c:pt idx="529">
                  <c:v>1995262.31496888</c:v>
                </c:pt>
                <c:pt idx="530">
                  <c:v>2041737.9446695296</c:v>
                </c:pt>
                <c:pt idx="531">
                  <c:v>2089296.1308540432</c:v>
                </c:pt>
                <c:pt idx="532">
                  <c:v>2137962.0895022359</c:v>
                </c:pt>
                <c:pt idx="533">
                  <c:v>2187761.6239495561</c:v>
                </c:pt>
                <c:pt idx="534">
                  <c:v>2238721.1385683389</c:v>
                </c:pt>
                <c:pt idx="535">
                  <c:v>2290867.6527677765</c:v>
                </c:pt>
                <c:pt idx="536">
                  <c:v>2344228.8153199251</c:v>
                </c:pt>
                <c:pt idx="537">
                  <c:v>2398832.9190194933</c:v>
                </c:pt>
                <c:pt idx="538">
                  <c:v>2454708.915685033</c:v>
                </c:pt>
                <c:pt idx="539">
                  <c:v>2511886.431509587</c:v>
                </c:pt>
                <c:pt idx="540">
                  <c:v>2570395.782768866</c:v>
                </c:pt>
                <c:pt idx="541">
                  <c:v>2630267.9918953842</c:v>
                </c:pt>
              </c:numCache>
            </c:numRef>
          </c:xVal>
          <c:yVal>
            <c:numRef>
              <c:f>Loop_Modeling!$AE$19:$AE$560</c:f>
              <c:numCache>
                <c:formatCode>General</c:formatCode>
                <c:ptCount val="542"/>
                <c:pt idx="0">
                  <c:v>-9.2756464961073171</c:v>
                </c:pt>
                <c:pt idx="1">
                  <c:v>-9.4878290298802845</c:v>
                </c:pt>
                <c:pt idx="2">
                  <c:v>-9.7046830220489468</c:v>
                </c:pt>
                <c:pt idx="3">
                  <c:v>-9.9262986509519031</c:v>
                </c:pt>
                <c:pt idx="4">
                  <c:v>-10.152766949952747</c:v>
                </c:pt>
                <c:pt idx="5">
                  <c:v>-10.384179748368705</c:v>
                </c:pt>
                <c:pt idx="6">
                  <c:v>-10.620629606513109</c:v>
                </c:pt>
                <c:pt idx="7">
                  <c:v>-10.862209744516159</c:v>
                </c:pt>
                <c:pt idx="8">
                  <c:v>-11.109013964580411</c:v>
                </c:pt>
                <c:pt idx="9">
                  <c:v>-11.361136566316528</c:v>
                </c:pt>
                <c:pt idx="10">
                  <c:v>-11.618672254798852</c:v>
                </c:pt>
                <c:pt idx="11">
                  <c:v>-11.881716040974428</c:v>
                </c:pt>
                <c:pt idx="12">
                  <c:v>-12.150363134053052</c:v>
                </c:pt>
                <c:pt idx="13">
                  <c:v>-12.424708825504725</c:v>
                </c:pt>
                <c:pt idx="14">
                  <c:v>-12.704848364288857</c:v>
                </c:pt>
                <c:pt idx="15">
                  <c:v>-12.990876822940136</c:v>
                </c:pt>
                <c:pt idx="16">
                  <c:v>-13.28288895414218</c:v>
                </c:pt>
                <c:pt idx="17">
                  <c:v>-13.580979037423258</c:v>
                </c:pt>
                <c:pt idx="18">
                  <c:v>-13.885240715623796</c:v>
                </c:pt>
                <c:pt idx="19">
                  <c:v>-14.19576682079121</c:v>
                </c:pt>
                <c:pt idx="20">
                  <c:v>-14.51264918918274</c:v>
                </c:pt>
                <c:pt idx="21">
                  <c:v>-14.835978465076298</c:v>
                </c:pt>
                <c:pt idx="22">
                  <c:v>-15.16584389311223</c:v>
                </c:pt>
                <c:pt idx="23">
                  <c:v>-15.502333098929547</c:v>
                </c:pt>
                <c:pt idx="24">
                  <c:v>-15.845531857887975</c:v>
                </c:pt>
                <c:pt idx="25">
                  <c:v>-16.19552385172144</c:v>
                </c:pt>
                <c:pt idx="26">
                  <c:v>-16.552390413008318</c:v>
                </c:pt>
                <c:pt idx="27">
                  <c:v>-16.916210257412231</c:v>
                </c:pt>
                <c:pt idx="28">
                  <c:v>-17.287059203703041</c:v>
                </c:pt>
                <c:pt idx="29">
                  <c:v>-17.665009881644973</c:v>
                </c:pt>
                <c:pt idx="30">
                  <c:v>-18.05013142791914</c:v>
                </c:pt>
                <c:pt idx="31">
                  <c:v>-18.442489170334873</c:v>
                </c:pt>
                <c:pt idx="32">
                  <c:v>-18.842144300682836</c:v>
                </c:pt>
                <c:pt idx="33">
                  <c:v>-19.249153536689843</c:v>
                </c:pt>
                <c:pt idx="34">
                  <c:v>-19.663568773647619</c:v>
                </c:pt>
                <c:pt idx="35">
                  <c:v>-20.085436726413636</c:v>
                </c:pt>
                <c:pt idx="36">
                  <c:v>-20.514798562611265</c:v>
                </c:pt>
                <c:pt idx="37">
                  <c:v>-20.951689527997427</c:v>
                </c:pt>
                <c:pt idx="38">
                  <c:v>-21.396138565112331</c:v>
                </c:pt>
                <c:pt idx="39">
                  <c:v>-21.848167926478624</c:v>
                </c:pt>
                <c:pt idx="40">
                  <c:v>-22.307792783775763</c:v>
                </c:pt>
                <c:pt idx="41">
                  <c:v>-22.775020834582918</c:v>
                </c:pt>
                <c:pt idx="42">
                  <c:v>-23.249851908442206</c:v>
                </c:pt>
                <c:pt idx="43">
                  <c:v>-23.732277574170965</c:v>
                </c:pt>
                <c:pt idx="44">
                  <c:v>-24.222280750514027</c:v>
                </c:pt>
                <c:pt idx="45">
                  <c:v>-24.719835322392626</c:v>
                </c:pt>
                <c:pt idx="46">
                  <c:v>-25.224905765169261</c:v>
                </c:pt>
                <c:pt idx="47">
                  <c:v>-25.737446779497578</c:v>
                </c:pt>
                <c:pt idx="48">
                  <c:v>-26.25740293947095</c:v>
                </c:pt>
                <c:pt idx="49">
                  <c:v>-26.784708356912262</c:v>
                </c:pt>
                <c:pt idx="50">
                  <c:v>-27.319286364759478</c:v>
                </c:pt>
                <c:pt idx="51">
                  <c:v>-27.861049222595256</c:v>
                </c:pt>
                <c:pt idx="52">
                  <c:v>-28.409897847439389</c:v>
                </c:pt>
                <c:pt idx="53">
                  <c:v>-28.965721572966817</c:v>
                </c:pt>
                <c:pt idx="54">
                  <c:v>-29.528397940325718</c:v>
                </c:pt>
                <c:pt idx="55">
                  <c:v>-30.097792523716173</c:v>
                </c:pt>
                <c:pt idx="56">
                  <c:v>-30.673758793831588</c:v>
                </c:pt>
                <c:pt idx="57">
                  <c:v>-31.256138022175836</c:v>
                </c:pt>
                <c:pt idx="58">
                  <c:v>-31.844759229135111</c:v>
                </c:pt>
                <c:pt idx="59">
                  <c:v>-32.439439178508188</c:v>
                </c:pt>
                <c:pt idx="60">
                  <c:v>-33.039982420984842</c:v>
                </c:pt>
                <c:pt idx="61">
                  <c:v>-33.646181388796123</c:v>
                </c:pt>
                <c:pt idx="62">
                  <c:v>-34.25781654346099</c:v>
                </c:pt>
                <c:pt idx="63">
                  <c:v>-34.874656578205062</c:v>
                </c:pt>
                <c:pt idx="64">
                  <c:v>-35.496458676241879</c:v>
                </c:pt>
                <c:pt idx="65">
                  <c:v>-36.122968825685966</c:v>
                </c:pt>
                <c:pt idx="66">
                  <c:v>-36.75392219140948</c:v>
                </c:pt>
                <c:pt idx="67">
                  <c:v>-37.389043543672393</c:v>
                </c:pt>
                <c:pt idx="68">
                  <c:v>-38.028047742847669</c:v>
                </c:pt>
                <c:pt idx="69">
                  <c:v>-38.670640279041699</c:v>
                </c:pt>
                <c:pt idx="70">
                  <c:v>-39.316517864879309</c:v>
                </c:pt>
                <c:pt idx="71">
                  <c:v>-39.965369079184903</c:v>
                </c:pt>
                <c:pt idx="72">
                  <c:v>-40.616875058771186</c:v>
                </c:pt>
                <c:pt idx="73">
                  <c:v>-41.270710235030158</c:v>
                </c:pt>
                <c:pt idx="74">
                  <c:v>-41.926543111534322</c:v>
                </c:pt>
                <c:pt idx="75">
                  <c:v>-42.584037078400542</c:v>
                </c:pt>
                <c:pt idx="76">
                  <c:v>-43.242851258749987</c:v>
                </c:pt>
                <c:pt idx="77">
                  <c:v>-43.902641382229959</c:v>
                </c:pt>
                <c:pt idx="78">
                  <c:v>-44.563060680246274</c:v>
                </c:pt>
                <c:pt idx="79">
                  <c:v>-45.223760797298787</c:v>
                </c:pt>
                <c:pt idx="80">
                  <c:v>-45.884392712622812</c:v>
                </c:pt>
                <c:pt idx="81">
                  <c:v>-46.544607666214866</c:v>
                </c:pt>
                <c:pt idx="82">
                  <c:v>-47.204058083265764</c:v>
                </c:pt>
                <c:pt idx="83">
                  <c:v>-47.862398491053391</c:v>
                </c:pt>
                <c:pt idx="84">
                  <c:v>-48.519286422423015</c:v>
                </c:pt>
                <c:pt idx="85">
                  <c:v>-49.174383300155512</c:v>
                </c:pt>
                <c:pt idx="86">
                  <c:v>-49.827355296744997</c:v>
                </c:pt>
                <c:pt idx="87">
                  <c:v>-50.477874164395132</c:v>
                </c:pt>
                <c:pt idx="88">
                  <c:v>-51.125618030390854</c:v>
                </c:pt>
                <c:pt idx="89">
                  <c:v>-51.770272153399162</c:v>
                </c:pt>
                <c:pt idx="90">
                  <c:v>-52.411529636687661</c:v>
                </c:pt>
                <c:pt idx="91">
                  <c:v>-53.049092094727108</c:v>
                </c:pt>
                <c:pt idx="92">
                  <c:v>-53.682670270146744</c:v>
                </c:pt>
                <c:pt idx="93">
                  <c:v>-54.311984598527737</c:v>
                </c:pt>
                <c:pt idx="94">
                  <c:v>-54.936765719059693</c:v>
                </c:pt>
                <c:pt idx="95">
                  <c:v>-55.55675492960512</c:v>
                </c:pt>
                <c:pt idx="96">
                  <c:v>-56.17170458526023</c:v>
                </c:pt>
                <c:pt idx="97">
                  <c:v>-56.781378440003529</c:v>
                </c:pt>
                <c:pt idx="98">
                  <c:v>-57.38555193152434</c:v>
                </c:pt>
                <c:pt idx="99">
                  <c:v>-57.984012409790772</c:v>
                </c:pt>
                <c:pt idx="100">
                  <c:v>-58.576559310355904</c:v>
                </c:pt>
                <c:pt idx="101">
                  <c:v>-59.163004273804887</c:v>
                </c:pt>
                <c:pt idx="102">
                  <c:v>-59.743171213108468</c:v>
                </c:pt>
                <c:pt idx="103">
                  <c:v>-60.316896330972099</c:v>
                </c:pt>
                <c:pt idx="104">
                  <c:v>-60.884028089557262</c:v>
                </c:pt>
                <c:pt idx="105">
                  <c:v>-61.444427135176355</c:v>
                </c:pt>
                <c:pt idx="106">
                  <c:v>-61.997966180771705</c:v>
                </c:pt>
                <c:pt idx="107">
                  <c:v>-62.544529849129106</c:v>
                </c:pt>
                <c:pt idx="108">
                  <c:v>-63.084014479895757</c:v>
                </c:pt>
                <c:pt idx="109">
                  <c:v>-63.616327903537936</c:v>
                </c:pt>
                <c:pt idx="110">
                  <c:v>-64.141389185410901</c:v>
                </c:pt>
                <c:pt idx="111">
                  <c:v>-64.659128343115555</c:v>
                </c:pt>
                <c:pt idx="112">
                  <c:v>-65.16948604028309</c:v>
                </c:pt>
                <c:pt idx="113">
                  <c:v>-65.672413259872386</c:v>
                </c:pt>
                <c:pt idx="114">
                  <c:v>-66.167870959980988</c:v>
                </c:pt>
                <c:pt idx="115">
                  <c:v>-66.655829715067455</c:v>
                </c:pt>
                <c:pt idx="116">
                  <c:v>-67.136269345360844</c:v>
                </c:pt>
                <c:pt idx="117">
                  <c:v>-67.609178537094863</c:v>
                </c:pt>
                <c:pt idx="118">
                  <c:v>-68.074554456058138</c:v>
                </c:pt>
                <c:pt idx="119">
                  <c:v>-68.532402356792161</c:v>
                </c:pt>
                <c:pt idx="120">
                  <c:v>-68.982735189609201</c:v>
                </c:pt>
                <c:pt idx="121">
                  <c:v>-69.425573207430617</c:v>
                </c:pt>
                <c:pt idx="122">
                  <c:v>-69.860943574283397</c:v>
                </c:pt>
                <c:pt idx="123">
                  <c:v>-70.288879977121852</c:v>
                </c:pt>
                <c:pt idx="124">
                  <c:v>-70.709422242474815</c:v>
                </c:pt>
                <c:pt idx="125">
                  <c:v>-71.122615959263953</c:v>
                </c:pt>
                <c:pt idx="126">
                  <c:v>-71.52851210897559</c:v>
                </c:pt>
                <c:pt idx="127">
                  <c:v>-71.927166704222103</c:v>
                </c:pt>
                <c:pt idx="128">
                  <c:v>-72.318640436584928</c:v>
                </c:pt>
                <c:pt idx="129">
                  <c:v>-72.702998334501046</c:v>
                </c:pt>
                <c:pt idx="130">
                  <c:v>-73.080309431815095</c:v>
                </c:pt>
                <c:pt idx="131">
                  <c:v>-73.450646447517286</c:v>
                </c:pt>
                <c:pt idx="132">
                  <c:v>-73.814085477062761</c:v>
                </c:pt>
                <c:pt idx="133">
                  <c:v>-74.170705695576316</c:v>
                </c:pt>
                <c:pt idx="134">
                  <c:v>-74.520589073148003</c:v>
                </c:pt>
                <c:pt idx="135">
                  <c:v>-74.863820102342075</c:v>
                </c:pt>
                <c:pt idx="136">
                  <c:v>-75.200485537968618</c:v>
                </c:pt>
                <c:pt idx="137">
                  <c:v>-75.530674149092633</c:v>
                </c:pt>
                <c:pt idx="138">
                  <c:v>-75.854476483199875</c:v>
                </c:pt>
                <c:pt idx="139">
                  <c:v>-76.171984642383421</c:v>
                </c:pt>
                <c:pt idx="140">
                  <c:v>-76.483292071366066</c:v>
                </c:pt>
                <c:pt idx="141">
                  <c:v>-76.788493357136232</c:v>
                </c:pt>
                <c:pt idx="142">
                  <c:v>-77.087684039937614</c:v>
                </c:pt>
                <c:pt idx="143">
                  <c:v>-77.380960435325505</c:v>
                </c:pt>
                <c:pt idx="144">
                  <c:v>-77.668419466976843</c:v>
                </c:pt>
                <c:pt idx="145">
                  <c:v>-77.950158509923313</c:v>
                </c:pt>
                <c:pt idx="146">
                  <c:v>-78.226275243859391</c:v>
                </c:pt>
                <c:pt idx="147">
                  <c:v>-78.496867516167256</c:v>
                </c:pt>
                <c:pt idx="148">
                  <c:v>-78.762033214291208</c:v>
                </c:pt>
                <c:pt idx="149">
                  <c:v>-79.021870147089757</c:v>
                </c:pt>
                <c:pt idx="150">
                  <c:v>-79.27647593479135</c:v>
                </c:pt>
                <c:pt idx="151">
                  <c:v>-79.525947907178107</c:v>
                </c:pt>
                <c:pt idx="152">
                  <c:v>-79.770383009626045</c:v>
                </c:pt>
                <c:pt idx="153">
                  <c:v>-80.009877716634193</c:v>
                </c:pt>
                <c:pt idx="154">
                  <c:v>-80.244527952477085</c:v>
                </c:pt>
                <c:pt idx="155">
                  <c:v>-80.474429018627674</c:v>
                </c:pt>
                <c:pt idx="156">
                  <c:v>-80.699675527600192</c:v>
                </c:pt>
                <c:pt idx="157">
                  <c:v>-80.920361342875182</c:v>
                </c:pt>
                <c:pt idx="158">
                  <c:v>-81.136579524576874</c:v>
                </c:pt>
                <c:pt idx="159">
                  <c:v>-81.348422280583506</c:v>
                </c:pt>
                <c:pt idx="160">
                  <c:v>-81.5559809227627</c:v>
                </c:pt>
                <c:pt idx="161">
                  <c:v>-81.759345828034199</c:v>
                </c:pt>
                <c:pt idx="162">
                  <c:v>-81.958606403974755</c:v>
                </c:pt>
                <c:pt idx="163">
                  <c:v>-82.153851058689526</c:v>
                </c:pt>
                <c:pt idx="164">
                  <c:v>-82.345167174688783</c:v>
                </c:pt>
                <c:pt idx="165">
                  <c:v>-82.532641086517032</c:v>
                </c:pt>
                <c:pt idx="166">
                  <c:v>-82.716358061895122</c:v>
                </c:pt>
                <c:pt idx="167">
                  <c:v>-82.896402286147278</c:v>
                </c:pt>
                <c:pt idx="168">
                  <c:v>-83.07285684969392</c:v>
                </c:pt>
                <c:pt idx="169">
                  <c:v>-83.245803738405144</c:v>
                </c:pt>
                <c:pt idx="170">
                  <c:v>-83.415323826617282</c:v>
                </c:pt>
                <c:pt idx="171">
                  <c:v>-83.581496872627355</c:v>
                </c:pt>
                <c:pt idx="172">
                  <c:v>-83.744401516489191</c:v>
                </c:pt>
                <c:pt idx="173">
                  <c:v>-83.904115279944605</c:v>
                </c:pt>
                <c:pt idx="174">
                  <c:v>-84.060714568333495</c:v>
                </c:pt>
                <c:pt idx="175">
                  <c:v>-84.214274674333438</c:v>
                </c:pt>
                <c:pt idx="176">
                  <c:v>-84.364869783390262</c:v>
                </c:pt>
                <c:pt idx="177">
                  <c:v>-84.512572980708669</c:v>
                </c:pt>
                <c:pt idx="178">
                  <c:v>-84.657456259678327</c:v>
                </c:pt>
                <c:pt idx="179">
                  <c:v>-84.799590531620979</c:v>
                </c:pt>
                <c:pt idx="180">
                  <c:v>-84.939045636749427</c:v>
                </c:pt>
                <c:pt idx="181">
                  <c:v>-85.075890356236442</c:v>
                </c:pt>
                <c:pt idx="182">
                  <c:v>-85.210192425299326</c:v>
                </c:pt>
                <c:pt idx="183">
                  <c:v>-85.342018547210571</c:v>
                </c:pt>
                <c:pt idx="184">
                  <c:v>-85.471434408151737</c:v>
                </c:pt>
                <c:pt idx="185">
                  <c:v>-85.598504692832904</c:v>
                </c:pt>
                <c:pt idx="186">
                  <c:v>-85.723293100806572</c:v>
                </c:pt>
                <c:pt idx="187">
                  <c:v>-85.845862363407491</c:v>
                </c:pt>
                <c:pt idx="188">
                  <c:v>-85.966274261257482</c:v>
                </c:pt>
                <c:pt idx="189">
                  <c:v>-86.084589642276072</c:v>
                </c:pt>
                <c:pt idx="190">
                  <c:v>-86.200868440144816</c:v>
                </c:pt>
                <c:pt idx="191">
                  <c:v>-86.31516969317434</c:v>
                </c:pt>
                <c:pt idx="192">
                  <c:v>-86.427551563529093</c:v>
                </c:pt>
                <c:pt idx="193">
                  <c:v>-86.538071356767105</c:v>
                </c:pt>
                <c:pt idx="194">
                  <c:v>-86.646785541656257</c:v>
                </c:pt>
                <c:pt idx="195">
                  <c:v>-86.753749770230513</c:v>
                </c:pt>
                <c:pt idx="196">
                  <c:v>-86.859018898054074</c:v>
                </c:pt>
                <c:pt idx="197">
                  <c:v>-86.962647004662713</c:v>
                </c:pt>
                <c:pt idx="198">
                  <c:v>-87.06468741415523</c:v>
                </c:pt>
                <c:pt idx="199">
                  <c:v>-87.165192715909768</c:v>
                </c:pt>
                <c:pt idx="200">
                  <c:v>-87.264214785402444</c:v>
                </c:pt>
                <c:pt idx="201">
                  <c:v>-87.361804805107312</c:v>
                </c:pt>
                <c:pt idx="202">
                  <c:v>-87.458013285459643</c:v>
                </c:pt>
                <c:pt idx="203">
                  <c:v>-87.5528900858653</c:v>
                </c:pt>
                <c:pt idx="204">
                  <c:v>-87.646484435741755</c:v>
                </c:pt>
                <c:pt idx="205">
                  <c:v>-87.738844955576994</c:v>
                </c:pt>
                <c:pt idx="206">
                  <c:v>-87.830019677995239</c:v>
                </c:pt>
                <c:pt idx="207">
                  <c:v>-87.920056068818184</c:v>
                </c:pt>
                <c:pt idx="208">
                  <c:v>-88.009001048114186</c:v>
                </c:pt>
                <c:pt idx="209">
                  <c:v>-88.096901011226649</c:v>
                </c:pt>
                <c:pt idx="210">
                  <c:v>-88.183801849775463</c:v>
                </c:pt>
                <c:pt idx="211">
                  <c:v>-88.269748972626473</c:v>
                </c:pt>
                <c:pt idx="212">
                  <c:v>-88.354787326824081</c:v>
                </c:pt>
                <c:pt idx="213">
                  <c:v>-88.438961418484141</c:v>
                </c:pt>
                <c:pt idx="214">
                  <c:v>-88.522315333644173</c:v>
                </c:pt>
                <c:pt idx="215">
                  <c:v>-88.604892759069756</c:v>
                </c:pt>
                <c:pt idx="216">
                  <c:v>-88.686737003015793</c:v>
                </c:pt>
                <c:pt idx="217">
                  <c:v>-88.76789101594288</c:v>
                </c:pt>
                <c:pt idx="218">
                  <c:v>-88.848397411189183</c:v>
                </c:pt>
                <c:pt idx="219">
                  <c:v>-88.928298485599043</c:v>
                </c:pt>
                <c:pt idx="220">
                  <c:v>-89.007636240110003</c:v>
                </c:pt>
                <c:pt idx="221">
                  <c:v>-89.086452400300985</c:v>
                </c:pt>
                <c:pt idx="222">
                  <c:v>-89.164788436903848</c:v>
                </c:pt>
                <c:pt idx="223">
                  <c:v>-89.242685586282391</c:v>
                </c:pt>
                <c:pt idx="224">
                  <c:v>-89.320184870882045</c:v>
                </c:pt>
                <c:pt idx="225">
                  <c:v>-89.397327119654733</c:v>
                </c:pt>
                <c:pt idx="226">
                  <c:v>-89.474152988463672</c:v>
                </c:pt>
                <c:pt idx="227">
                  <c:v>-89.550702980472622</c:v>
                </c:pt>
                <c:pt idx="228">
                  <c:v>-89.627017466525345</c:v>
                </c:pt>
                <c:pt idx="229">
                  <c:v>-89.703136705521089</c:v>
                </c:pt>
                <c:pt idx="230">
                  <c:v>-89.779100864791189</c:v>
                </c:pt>
                <c:pt idx="231">
                  <c:v>-89.854950040484312</c:v>
                </c:pt>
                <c:pt idx="232">
                  <c:v>-89.930724277965496</c:v>
                </c:pt>
                <c:pt idx="233">
                  <c:v>-90.006463592237026</c:v>
                </c:pt>
                <c:pt idx="234">
                  <c:v>-90.082207988387196</c:v>
                </c:pt>
                <c:pt idx="235">
                  <c:v>-90.157997482074549</c:v>
                </c:pt>
                <c:pt idx="236">
                  <c:v>-90.233872120055153</c:v>
                </c:pt>
                <c:pt idx="237">
                  <c:v>-90.309872000760308</c:v>
                </c:pt>
                <c:pt idx="238">
                  <c:v>-90.386037294932635</c:v>
                </c:pt>
                <c:pt idx="239">
                  <c:v>-90.462408266328282</c:v>
                </c:pt>
                <c:pt idx="240">
                  <c:v>-90.539025292493903</c:v>
                </c:pt>
                <c:pt idx="241">
                  <c:v>-90.615928885626204</c:v>
                </c:pt>
                <c:pt idx="242">
                  <c:v>-90.693159713522832</c:v>
                </c:pt>
                <c:pt idx="243">
                  <c:v>-90.770758620633003</c:v>
                </c:pt>
                <c:pt idx="244">
                  <c:v>-90.848766649216842</c:v>
                </c:pt>
                <c:pt idx="245">
                  <c:v>-90.927225060621993</c:v>
                </c:pt>
                <c:pt idx="246">
                  <c:v>-91.006175356686839</c:v>
                </c:pt>
                <c:pt idx="247">
                  <c:v>-91.085659301279094</c:v>
                </c:pt>
                <c:pt idx="248">
                  <c:v>-91.165718941979108</c:v>
                </c:pt>
                <c:pt idx="249">
                  <c:v>-91.246396631917378</c:v>
                </c:pt>
                <c:pt idx="250">
                  <c:v>-91.327735051775306</c:v>
                </c:pt>
                <c:pt idx="251">
                  <c:v>-91.409777231959012</c:v>
                </c:pt>
                <c:pt idx="252">
                  <c:v>-91.492566574955603</c:v>
                </c:pt>
                <c:pt idx="253">
                  <c:v>-91.576146877881726</c:v>
                </c:pt>
                <c:pt idx="254">
                  <c:v>-91.660562355234106</c:v>
                </c:pt>
                <c:pt idx="255">
                  <c:v>-91.745857661851758</c:v>
                </c:pt>
                <c:pt idx="256">
                  <c:v>-91.832077916099834</c:v>
                </c:pt>
                <c:pt idx="257">
                  <c:v>-91.919268723285256</c:v>
                </c:pt>
                <c:pt idx="258">
                  <c:v>-92.007476199313871</c:v>
                </c:pt>
                <c:pt idx="259">
                  <c:v>-92.096746994599272</c:v>
                </c:pt>
                <c:pt idx="260">
                  <c:v>-92.187128318233476</c:v>
                </c:pt>
                <c:pt idx="261">
                  <c:v>-92.278667962429353</c:v>
                </c:pt>
                <c:pt idx="262">
                  <c:v>-92.371414327245418</c:v>
                </c:pt>
                <c:pt idx="263">
                  <c:v>-92.465416445602543</c:v>
                </c:pt>
                <c:pt idx="264">
                  <c:v>-92.560724008603472</c:v>
                </c:pt>
                <c:pt idx="265">
                  <c:v>-92.657387391164704</c:v>
                </c:pt>
                <c:pt idx="266">
                  <c:v>-92.755457677971506</c:v>
                </c:pt>
                <c:pt idx="267">
                  <c:v>-92.854986689765809</c:v>
                </c:pt>
                <c:pt idx="268">
                  <c:v>-92.956027009977277</c:v>
                </c:pt>
                <c:pt idx="269">
                  <c:v>-93.058632011707886</c:v>
                </c:pt>
                <c:pt idx="270">
                  <c:v>-93.162855885079736</c:v>
                </c:pt>
                <c:pt idx="271">
                  <c:v>-93.26875366495625</c:v>
                </c:pt>
                <c:pt idx="272">
                  <c:v>-93.376381259046568</c:v>
                </c:pt>
                <c:pt idx="273">
                  <c:v>-93.485795476403354</c:v>
                </c:pt>
                <c:pt idx="274">
                  <c:v>-93.597054056322904</c:v>
                </c:pt>
                <c:pt idx="275">
                  <c:v>-93.710215697657944</c:v>
                </c:pt>
                <c:pt idx="276">
                  <c:v>-93.825340088552153</c:v>
                </c:pt>
                <c:pt idx="277">
                  <c:v>-93.942487936605147</c:v>
                </c:pt>
                <c:pt idx="278">
                  <c:v>-94.061720999478055</c:v>
                </c:pt>
                <c:pt idx="279">
                  <c:v>-94.183102115947236</c:v>
                </c:pt>
                <c:pt idx="280">
                  <c:v>-94.30669523741534</c:v>
                </c:pt>
                <c:pt idx="281">
                  <c:v>-94.432565459887698</c:v>
                </c:pt>
                <c:pt idx="282">
                  <c:v>-94.560779056421893</c:v>
                </c:pt>
                <c:pt idx="283">
                  <c:v>-94.69140351005808</c:v>
                </c:pt>
                <c:pt idx="284">
                  <c:v>-94.824507547236934</c:v>
                </c:pt>
                <c:pt idx="285">
                  <c:v>-94.960161171711817</c:v>
                </c:pt>
                <c:pt idx="286">
                  <c:v>-95.098435698961737</c:v>
                </c:pt>
                <c:pt idx="287">
                  <c:v>-95.239403791109964</c:v>
                </c:pt>
                <c:pt idx="288">
                  <c:v>-95.383139492353806</c:v>
                </c:pt>
                <c:pt idx="289">
                  <c:v>-95.529718264909221</c:v>
                </c:pt>
                <c:pt idx="290">
                  <c:v>-95.6792170254746</c:v>
                </c:pt>
                <c:pt idx="291">
                  <c:v>-95.831714182215578</c:v>
                </c:pt>
                <c:pt idx="292">
                  <c:v>-95.987289672273434</c:v>
                </c:pt>
                <c:pt idx="293">
                  <c:v>-96.146024999797405</c:v>
                </c:pt>
                <c:pt idx="294">
                  <c:v>-96.308003274501232</c:v>
                </c:pt>
                <c:pt idx="295">
                  <c:v>-96.473309250742403</c:v>
                </c:pt>
                <c:pt idx="296">
                  <c:v>-96.642029367121651</c:v>
                </c:pt>
                <c:pt idx="297">
                  <c:v>-96.814251786598817</c:v>
                </c:pt>
                <c:pt idx="298">
                  <c:v>-96.990066437119935</c:v>
                </c:pt>
                <c:pt idx="299">
                  <c:v>-97.169565052748652</c:v>
                </c:pt>
                <c:pt idx="300">
                  <c:v>-97.352841215293267</c:v>
                </c:pt>
                <c:pt idx="301">
                  <c:v>-97.539990396419086</c:v>
                </c:pt>
                <c:pt idx="302">
                  <c:v>-97.731110000234111</c:v>
                </c:pt>
                <c:pt idx="303">
                  <c:v>-97.926299406333044</c:v>
                </c:pt>
                <c:pt idx="304">
                  <c:v>-98.125660013283024</c:v>
                </c:pt>
                <c:pt idx="305">
                  <c:v>-98.32929528253176</c:v>
                </c:pt>
                <c:pt idx="306">
                  <c:v>-98.537310782716915</c:v>
                </c:pt>
                <c:pt idx="307">
                  <c:v>-98.749814234349827</c:v>
                </c:pt>
                <c:pt idx="308">
                  <c:v>-98.966915554848512</c:v>
                </c:pt>
                <c:pt idx="309">
                  <c:v>-99.188726903886248</c:v>
                </c:pt>
                <c:pt idx="310">
                  <c:v>-99.415362729022291</c:v>
                </c:pt>
                <c:pt idx="311">
                  <c:v>-99.646939811575507</c:v>
                </c:pt>
                <c:pt idx="312">
                  <c:v>-99.883577312698378</c:v>
                </c:pt>
                <c:pt idx="313">
                  <c:v>-100.12539681960426</c:v>
                </c:pt>
                <c:pt idx="314">
                  <c:v>-100.37252239189576</c:v>
                </c:pt>
                <c:pt idx="315">
                  <c:v>-100.62508060793708</c:v>
                </c:pt>
                <c:pt idx="316">
                  <c:v>-100.88320061120884</c:v>
                </c:pt>
                <c:pt idx="317">
                  <c:v>-101.14701415657591</c:v>
                </c:pt>
                <c:pt idx="318">
                  <c:v>-101.41665565639511</c:v>
                </c:pt>
                <c:pt idx="319">
                  <c:v>-101.69226222638056</c:v>
                </c:pt>
                <c:pt idx="320">
                  <c:v>-101.97397373114029</c:v>
                </c:pt>
                <c:pt idx="321">
                  <c:v>-102.26193282928634</c:v>
                </c:pt>
                <c:pt idx="322">
                  <c:v>-102.55628501801664</c:v>
                </c:pt>
                <c:pt idx="323">
                  <c:v>-102.85717867705586</c:v>
                </c:pt>
                <c:pt idx="324">
                  <c:v>-103.1647651118338</c:v>
                </c:pt>
                <c:pt idx="325">
                  <c:v>-103.47919859577011</c:v>
                </c:pt>
                <c:pt idx="326">
                  <c:v>-103.80063641152509</c:v>
                </c:pt>
                <c:pt idx="327">
                  <c:v>-104.12923889106364</c:v>
                </c:pt>
                <c:pt idx="328">
                  <c:v>-104.46516945436824</c:v>
                </c:pt>
                <c:pt idx="329">
                  <c:v>-104.80859464662672</c:v>
                </c:pt>
                <c:pt idx="330">
                  <c:v>-105.15968417370277</c:v>
                </c:pt>
                <c:pt idx="331">
                  <c:v>-105.51861093568992</c:v>
                </c:pt>
                <c:pt idx="332">
                  <c:v>-105.88555105832752</c:v>
                </c:pt>
                <c:pt idx="333">
                  <c:v>-106.26068392204976</c:v>
                </c:pt>
                <c:pt idx="334">
                  <c:v>-106.64419218841554</c:v>
                </c:pt>
                <c:pt idx="335">
                  <c:v>-107.03626182365501</c:v>
                </c:pt>
                <c:pt idx="336">
                  <c:v>-107.43708211904666</c:v>
                </c:pt>
                <c:pt idx="337">
                  <c:v>-107.84684570782338</c:v>
                </c:pt>
                <c:pt idx="338">
                  <c:v>-108.26574857828331</c:v>
                </c:pt>
                <c:pt idx="339">
                  <c:v>-108.69399008276095</c:v>
                </c:pt>
                <c:pt idx="340">
                  <c:v>-109.13177294209329</c:v>
                </c:pt>
                <c:pt idx="341">
                  <c:v>-109.57930324519202</c:v>
                </c:pt>
                <c:pt idx="342">
                  <c:v>-110.03679044330832</c:v>
                </c:pt>
                <c:pt idx="343">
                  <c:v>-110.50444733855242</c:v>
                </c:pt>
                <c:pt idx="344">
                  <c:v>-110.98249006620568</c:v>
                </c:pt>
                <c:pt idx="345">
                  <c:v>-111.47113807033195</c:v>
                </c:pt>
                <c:pt idx="346">
                  <c:v>-111.97061407217367</c:v>
                </c:pt>
                <c:pt idx="347">
                  <c:v>-112.48114403078098</c:v>
                </c:pt>
                <c:pt idx="348">
                  <c:v>-113.00295709530094</c:v>
                </c:pt>
                <c:pt idx="349">
                  <c:v>-113.53628554831793</c:v>
                </c:pt>
                <c:pt idx="350">
                  <c:v>-114.08136473960697</c:v>
                </c:pt>
                <c:pt idx="351">
                  <c:v>-114.63843300962974</c:v>
                </c:pt>
                <c:pt idx="352">
                  <c:v>-115.2077316020723</c:v>
                </c:pt>
                <c:pt idx="353">
                  <c:v>-115.78950456468677</c:v>
                </c:pt>
                <c:pt idx="354">
                  <c:v>-116.3839986376737</c:v>
                </c:pt>
                <c:pt idx="355">
                  <c:v>-116.99146312879812</c:v>
                </c:pt>
                <c:pt idx="356">
                  <c:v>-117.61214977441324</c:v>
                </c:pt>
                <c:pt idx="357">
                  <c:v>-118.24631258552002</c:v>
                </c:pt>
                <c:pt idx="358">
                  <c:v>-118.89420767797085</c:v>
                </c:pt>
                <c:pt idx="359">
                  <c:v>-119.55609308588591</c:v>
                </c:pt>
                <c:pt idx="360">
                  <c:v>-120.23222855733046</c:v>
                </c:pt>
                <c:pt idx="361">
                  <c:v>-120.92287533126732</c:v>
                </c:pt>
                <c:pt idx="362">
                  <c:v>-121.62829589477617</c:v>
                </c:pt>
                <c:pt idx="363">
                  <c:v>-122.34875371951613</c:v>
                </c:pt>
                <c:pt idx="364">
                  <c:v>-123.08451297637477</c:v>
                </c:pt>
                <c:pt idx="365">
                  <c:v>-123.83583822724914</c:v>
                </c:pt>
                <c:pt idx="366">
                  <c:v>-124.60299409288311</c:v>
                </c:pt>
                <c:pt idx="367">
                  <c:v>-125.38624489568386</c:v>
                </c:pt>
                <c:pt idx="368">
                  <c:v>-126.18585427644618</c:v>
                </c:pt>
                <c:pt idx="369">
                  <c:v>-127.00208478391558</c:v>
                </c:pt>
                <c:pt idx="370">
                  <c:v>-127.83519743614134</c:v>
                </c:pt>
                <c:pt idx="371">
                  <c:v>-128.68545125259951</c:v>
                </c:pt>
                <c:pt idx="372">
                  <c:v>-129.55310275609403</c:v>
                </c:pt>
                <c:pt idx="373">
                  <c:v>-130.43840544349501</c:v>
                </c:pt>
                <c:pt idx="374">
                  <c:v>-131.34160922443385</c:v>
                </c:pt>
                <c:pt idx="375">
                  <c:v>-132.26295982714083</c:v>
                </c:pt>
                <c:pt idx="376">
                  <c:v>-133.20269817070229</c:v>
                </c:pt>
                <c:pt idx="377">
                  <c:v>-134.16105970311185</c:v>
                </c:pt>
                <c:pt idx="378">
                  <c:v>-135.13827370461195</c:v>
                </c:pt>
                <c:pt idx="379">
                  <c:v>-136.1345625559569</c:v>
                </c:pt>
                <c:pt idx="380">
                  <c:v>-137.1501409713803</c:v>
                </c:pt>
                <c:pt idx="381">
                  <c:v>-138.18521519623204</c:v>
                </c:pt>
                <c:pt idx="382">
                  <c:v>-139.23998216944057</c:v>
                </c:pt>
                <c:pt idx="383">
                  <c:v>-140.31462865117504</c:v>
                </c:pt>
                <c:pt idx="384">
                  <c:v>-141.40933031632707</c:v>
                </c:pt>
                <c:pt idx="385">
                  <c:v>-142.52425081468698</c:v>
                </c:pt>
                <c:pt idx="386">
                  <c:v>-143.6595407989881</c:v>
                </c:pt>
                <c:pt idx="387">
                  <c:v>-144.81533692229422</c:v>
                </c:pt>
                <c:pt idx="388">
                  <c:v>-145.99176080654155</c:v>
                </c:pt>
                <c:pt idx="389">
                  <c:v>-147.18891798440887</c:v>
                </c:pt>
                <c:pt idx="390">
                  <c:v>-148.40689681705874</c:v>
                </c:pt>
                <c:pt idx="391">
                  <c:v>-149.64576739069818</c:v>
                </c:pt>
                <c:pt idx="392">
                  <c:v>-150.90558039532388</c:v>
                </c:pt>
                <c:pt idx="393">
                  <c:v>-152.18636598944073</c:v>
                </c:pt>
                <c:pt idx="394">
                  <c:v>-153.48813265500743</c:v>
                </c:pt>
                <c:pt idx="395">
                  <c:v>-154.81086604728881</c:v>
                </c:pt>
                <c:pt idx="396">
                  <c:v>-156.15452784478927</c:v>
                </c:pt>
                <c:pt idx="397">
                  <c:v>-157.51905460486793</c:v>
                </c:pt>
                <c:pt idx="398">
                  <c:v>-158.9043566311195</c:v>
                </c:pt>
                <c:pt idx="399">
                  <c:v>-160.31031685902929</c:v>
                </c:pt>
                <c:pt idx="400">
                  <c:v>-161.73678976684596</c:v>
                </c:pt>
                <c:pt idx="401">
                  <c:v>-163.18360031901761</c:v>
                </c:pt>
                <c:pt idx="402">
                  <c:v>-164.65054294989756</c:v>
                </c:pt>
                <c:pt idx="403">
                  <c:v>-166.13738059576232</c:v>
                </c:pt>
                <c:pt idx="404">
                  <c:v>-167.643843783459</c:v>
                </c:pt>
                <c:pt idx="405">
                  <c:v>-169.16962978421378</c:v>
                </c:pt>
                <c:pt idx="406">
                  <c:v>-170.71440184130421</c:v>
                </c:pt>
                <c:pt idx="407">
                  <c:v>-172.277788480357</c:v>
                </c:pt>
                <c:pt idx="408">
                  <c:v>-173.85938291104702</c:v>
                </c:pt>
                <c:pt idx="409">
                  <c:v>-175.45874252887216</c:v>
                </c:pt>
                <c:pt idx="410">
                  <c:v>-177.07538852548805</c:v>
                </c:pt>
                <c:pt idx="411">
                  <c:v>-178.70880561580108</c:v>
                </c:pt>
                <c:pt idx="412">
                  <c:v>179.6415581103939</c:v>
                </c:pt>
                <c:pt idx="413">
                  <c:v>177.97629120494437</c:v>
                </c:pt>
                <c:pt idx="414">
                  <c:v>176.2960187393839</c:v>
                </c:pt>
                <c:pt idx="415">
                  <c:v>174.6014020385665</c:v>
                </c:pt>
                <c:pt idx="416">
                  <c:v>172.89313826481217</c:v>
                </c:pt>
                <c:pt idx="417">
                  <c:v>171.17195984844406</c:v>
                </c:pt>
                <c:pt idx="418">
                  <c:v>169.43863376164356</c:v>
                </c:pt>
                <c:pt idx="419">
                  <c:v>167.69396063368899</c:v>
                </c:pt>
                <c:pt idx="420">
                  <c:v>165.93877370687935</c:v>
                </c:pt>
                <c:pt idx="421">
                  <c:v>164.17393763372263</c:v>
                </c:pt>
                <c:pt idx="422">
                  <c:v>162.40034711732272</c:v>
                </c:pt>
                <c:pt idx="423">
                  <c:v>160.61892539826943</c:v>
                </c:pt>
                <c:pt idx="424">
                  <c:v>158.83062259274962</c:v>
                </c:pt>
                <c:pt idx="425">
                  <c:v>157.03641388798005</c:v>
                </c:pt>
                <c:pt idx="426">
                  <c:v>155.23729760244788</c:v>
                </c:pt>
                <c:pt idx="427">
                  <c:v>153.43429311978849</c:v>
                </c:pt>
                <c:pt idx="428">
                  <c:v>151.62843870638855</c:v>
                </c:pt>
                <c:pt idx="429">
                  <c:v>149.82078922399398</c:v>
                </c:pt>
                <c:pt idx="430">
                  <c:v>148.01241374971875</c:v>
                </c:pt>
                <c:pt idx="431">
                  <c:v>146.20439311677572</c:v>
                </c:pt>
                <c:pt idx="432">
                  <c:v>144.39781739012679</c:v>
                </c:pt>
                <c:pt idx="433">
                  <c:v>142.59378329189408</c:v>
                </c:pt>
                <c:pt idx="434">
                  <c:v>140.79339159192895</c:v>
                </c:pt>
                <c:pt idx="435">
                  <c:v>138.99774447925526</c:v>
                </c:pt>
                <c:pt idx="436">
                  <c:v>137.20794293028584</c:v>
                </c:pt>
                <c:pt idx="437">
                  <c:v>135.42508408970755</c:v>
                </c:pt>
                <c:pt idx="438">
                  <c:v>133.65025867972267</c:v>
                </c:pt>
                <c:pt idx="439">
                  <c:v>131.88454845298435</c:v>
                </c:pt>
                <c:pt idx="440">
                  <c:v>130.12902370401841</c:v>
                </c:pt>
                <c:pt idx="441">
                  <c:v>128.38474085321647</c:v>
                </c:pt>
                <c:pt idx="442">
                  <c:v>126.6527401166541</c:v>
                </c:pt>
                <c:pt idx="443">
                  <c:v>124.93404327399776</c:v>
                </c:pt>
                <c:pt idx="444">
                  <c:v>123.22965154564903</c:v>
                </c:pt>
                <c:pt idx="445">
                  <c:v>121.54054358910524</c:v>
                </c:pt>
                <c:pt idx="446">
                  <c:v>119.86767362319968</c:v>
                </c:pt>
                <c:pt idx="447">
                  <c:v>118.21196968757178</c:v>
                </c:pt>
                <c:pt idx="448">
                  <c:v>116.57433204331208</c:v>
                </c:pt>
                <c:pt idx="449">
                  <c:v>114.95563171934496</c:v>
                </c:pt>
                <c:pt idx="450">
                  <c:v>113.35670920769246</c:v>
                </c:pt>
                <c:pt idx="451">
                  <c:v>111.77837330939607</c:v>
                </c:pt>
                <c:pt idx="452">
                  <c:v>110.2214001315145</c:v>
                </c:pt>
                <c:pt idx="453">
                  <c:v>108.68653223432932</c:v>
                </c:pt>
                <c:pt idx="454">
                  <c:v>107.174477926667</c:v>
                </c:pt>
                <c:pt idx="455">
                  <c:v>105.68591070609189</c:v>
                </c:pt>
                <c:pt idx="456">
                  <c:v>104.22146883968935</c:v>
                </c:pt>
                <c:pt idx="457">
                  <c:v>102.78175508017573</c:v>
                </c:pt>
                <c:pt idx="458">
                  <c:v>101.36733651125856</c:v>
                </c:pt>
                <c:pt idx="459">
                  <c:v>99.978744515402326</c:v>
                </c:pt>
                <c:pt idx="460">
                  <c:v>98.616474856549971</c:v>
                </c:pt>
                <c:pt idx="461">
                  <c:v>97.280987869832032</c:v>
                </c:pt>
                <c:pt idx="462">
                  <c:v>95.972708749898942</c:v>
                </c:pt>
                <c:pt idx="463">
                  <c:v>94.69202792922141</c:v>
                </c:pt>
                <c:pt idx="464">
                  <c:v>93.439301537522041</c:v>
                </c:pt>
                <c:pt idx="465">
                  <c:v>92.214851933425592</c:v>
                </c:pt>
                <c:pt idx="466">
                  <c:v>91.018968299410759</c:v>
                </c:pt>
                <c:pt idx="467">
                  <c:v>89.851907291272042</c:v>
                </c:pt>
                <c:pt idx="468">
                  <c:v>88.713893733455947</c:v>
                </c:pt>
                <c:pt idx="469">
                  <c:v>87.605121351905524</c:v>
                </c:pt>
                <c:pt idx="470">
                  <c:v>86.525753536363368</c:v>
                </c:pt>
                <c:pt idx="471">
                  <c:v>85.475924124449534</c:v>
                </c:pt>
                <c:pt idx="472">
                  <c:v>84.455738200274382</c:v>
                </c:pt>
                <c:pt idx="473">
                  <c:v>83.465272900787795</c:v>
                </c:pt>
                <c:pt idx="474">
                  <c:v>82.504578223594734</c:v>
                </c:pt>
                <c:pt idx="475">
                  <c:v>81.573677830469961</c:v>
                </c:pt>
                <c:pt idx="476">
                  <c:v>80.672569841378916</c:v>
                </c:pt>
                <c:pt idx="477">
                  <c:v>79.801227614352158</c:v>
                </c:pt>
                <c:pt idx="478">
                  <c:v>78.959600507157333</c:v>
                </c:pt>
                <c:pt idx="479">
                  <c:v>78.147614617276531</c:v>
                </c:pt>
                <c:pt idx="480">
                  <c:v>77.36517349728031</c:v>
                </c:pt>
                <c:pt idx="481">
                  <c:v>76.612158843269526</c:v>
                </c:pt>
                <c:pt idx="482">
                  <c:v>75.888431154610203</c:v>
                </c:pt>
                <c:pt idx="483">
                  <c:v>75.193830363759517</c:v>
                </c:pt>
                <c:pt idx="484">
                  <c:v>74.528176435500413</c:v>
                </c:pt>
                <c:pt idx="485">
                  <c:v>73.891269935446175</c:v>
                </c:pt>
                <c:pt idx="486">
                  <c:v>73.282892568162779</c:v>
                </c:pt>
                <c:pt idx="487">
                  <c:v>72.702807685745654</c:v>
                </c:pt>
                <c:pt idx="488">
                  <c:v>72.150760768141993</c:v>
                </c:pt>
                <c:pt idx="489">
                  <c:v>71.62647987693245</c:v>
                </c:pt>
                <c:pt idx="490">
                  <c:v>71.129676084689322</c:v>
                </c:pt>
                <c:pt idx="491">
                  <c:v>70.660043882387839</c:v>
                </c:pt>
                <c:pt idx="492">
                  <c:v>70.21726156768608</c:v>
                </c:pt>
                <c:pt idx="493">
                  <c:v>69.800991617172684</c:v>
                </c:pt>
                <c:pt idx="494">
                  <c:v>69.410881045945843</c:v>
                </c:pt>
                <c:pt idx="495">
                  <c:v>69.046561758093461</c:v>
                </c:pt>
                <c:pt idx="496">
                  <c:v>68.707650891819483</c:v>
                </c:pt>
                <c:pt idx="497">
                  <c:v>68.393751163078079</c:v>
                </c:pt>
                <c:pt idx="498">
                  <c:v>68.104451211661328</c:v>
                </c:pt>
                <c:pt idx="499">
                  <c:v>67.839325953705398</c:v>
                </c:pt>
                <c:pt idx="500">
                  <c:v>67.597936944556281</c:v>
                </c:pt>
                <c:pt idx="501">
                  <c:v>67.379832755863276</c:v>
                </c:pt>
                <c:pt idx="502">
                  <c:v>67.18454937063089</c:v>
                </c:pt>
                <c:pt idx="503">
                  <c:v>67.011610599782543</c:v>
                </c:pt>
                <c:pt idx="504">
                  <c:v>66.860528523550443</c:v>
                </c:pt>
                <c:pt idx="505">
                  <c:v>66.730803960720323</c:v>
                </c:pt>
                <c:pt idx="506">
                  <c:v>66.621926968422144</c:v>
                </c:pt>
                <c:pt idx="507">
                  <c:v>66.533377374775554</c:v>
                </c:pt>
                <c:pt idx="508">
                  <c:v>66.46462534627409</c:v>
                </c:pt>
                <c:pt idx="509">
                  <c:v>66.415131991328039</c:v>
                </c:pt>
                <c:pt idx="510">
                  <c:v>66.384350000883117</c:v>
                </c:pt>
                <c:pt idx="511">
                  <c:v>66.371724326518944</c:v>
                </c:pt>
                <c:pt idx="512">
                  <c:v>66.376692895874157</c:v>
                </c:pt>
                <c:pt idx="513">
                  <c:v>66.398687364697707</c:v>
                </c:pt>
                <c:pt idx="514">
                  <c:v>66.437133904260591</c:v>
                </c:pt>
                <c:pt idx="515">
                  <c:v>66.491454022302108</c:v>
                </c:pt>
                <c:pt idx="516">
                  <c:v>66.561065415146089</c:v>
                </c:pt>
                <c:pt idx="517">
                  <c:v>66.645382848091771</c:v>
                </c:pt>
                <c:pt idx="518">
                  <c:v>66.743819060697462</c:v>
                </c:pt>
                <c:pt idx="519">
                  <c:v>66.855785693112722</c:v>
                </c:pt>
                <c:pt idx="520">
                  <c:v>66.980694229212148</c:v>
                </c:pt>
                <c:pt idx="521">
                  <c:v>67.117956951924029</c:v>
                </c:pt>
                <c:pt idx="522">
                  <c:v>67.266987905851067</c:v>
                </c:pt>
                <c:pt idx="523">
                  <c:v>67.427203862050774</c:v>
                </c:pt>
                <c:pt idx="524">
                  <c:v>67.598025279675284</c:v>
                </c:pt>
                <c:pt idx="525">
                  <c:v>67.778877259082606</c:v>
                </c:pt>
                <c:pt idx="526">
                  <c:v>67.969190481003992</c:v>
                </c:pt>
                <c:pt idx="527">
                  <c:v>68.168402126419224</c:v>
                </c:pt>
                <c:pt idx="528">
                  <c:v>68.375956771885413</c:v>
                </c:pt>
                <c:pt idx="529">
                  <c:v>68.591307255298759</c:v>
                </c:pt>
                <c:pt idx="530">
                  <c:v>68.81391550727318</c:v>
                </c:pt>
                <c:pt idx="531">
                  <c:v>69.043253343675744</c:v>
                </c:pt>
                <c:pt idx="532">
                  <c:v>69.278803215198394</c:v>
                </c:pt>
                <c:pt idx="533">
                  <c:v>69.520058910267551</c:v>
                </c:pt>
                <c:pt idx="534">
                  <c:v>69.766526208032786</c:v>
                </c:pt>
                <c:pt idx="535">
                  <c:v>70.017723478665431</c:v>
                </c:pt>
                <c:pt idx="536">
                  <c:v>70.273182228682614</c:v>
                </c:pt>
                <c:pt idx="537">
                  <c:v>70.532447589536119</c:v>
                </c:pt>
                <c:pt idx="538">
                  <c:v>70.795078748210571</c:v>
                </c:pt>
                <c:pt idx="539">
                  <c:v>71.06064931909458</c:v>
                </c:pt>
                <c:pt idx="540">
                  <c:v>71.328747656885469</c:v>
                </c:pt>
                <c:pt idx="541">
                  <c:v>71.598977110771216</c:v>
                </c:pt>
              </c:numCache>
            </c:numRef>
          </c:yVal>
          <c:smooth val="1"/>
          <c:extLst>
            <c:ext xmlns:c16="http://schemas.microsoft.com/office/drawing/2014/chart" uri="{C3380CC4-5D6E-409C-BE32-E72D297353CC}">
              <c16:uniqueId val="{00000001-B561-4C80-890B-643E0BF90D63}"/>
            </c:ext>
          </c:extLst>
        </c:ser>
        <c:dLbls>
          <c:showLegendKey val="0"/>
          <c:showVal val="0"/>
          <c:showCatName val="0"/>
          <c:showSerName val="0"/>
          <c:showPercent val="0"/>
          <c:showBubbleSize val="0"/>
        </c:dLbls>
        <c:axId val="162527872"/>
        <c:axId val="162526336"/>
      </c:scatterChart>
      <c:valAx>
        <c:axId val="162497664"/>
        <c:scaling>
          <c:logBase val="10"/>
          <c:orientation val="minMax"/>
          <c:max val="2200000"/>
          <c:min val="10"/>
        </c:scaling>
        <c:delete val="0"/>
        <c:axPos val="b"/>
        <c:minorGridlines/>
        <c:title>
          <c:tx>
            <c:rich>
              <a:bodyPr/>
              <a:lstStyle/>
              <a:p>
                <a:pPr>
                  <a:defRPr/>
                </a:pPr>
                <a:r>
                  <a:rPr lang="en-US"/>
                  <a:t>Frequency</a:t>
                </a:r>
                <a:r>
                  <a:rPr lang="en-US" baseline="0"/>
                  <a:t> (Hz)</a:t>
                </a:r>
                <a:endParaRPr lang="en-US"/>
              </a:p>
            </c:rich>
          </c:tx>
          <c:overlay val="0"/>
        </c:title>
        <c:numFmt formatCode="0" sourceLinked="0"/>
        <c:majorTickMark val="out"/>
        <c:minorTickMark val="none"/>
        <c:tickLblPos val="low"/>
        <c:crossAx val="162499584"/>
        <c:crosses val="autoZero"/>
        <c:crossBetween val="midCat"/>
      </c:valAx>
      <c:valAx>
        <c:axId val="162499584"/>
        <c:scaling>
          <c:orientation val="minMax"/>
          <c:max val="40"/>
          <c:min val="-40"/>
        </c:scaling>
        <c:delete val="0"/>
        <c:axPos val="l"/>
        <c:majorGridlines/>
        <c:minorGridlines/>
        <c:title>
          <c:tx>
            <c:rich>
              <a:bodyPr rot="-5400000" vert="horz"/>
              <a:lstStyle/>
              <a:p>
                <a:pPr>
                  <a:defRPr/>
                </a:pPr>
                <a:r>
                  <a:rPr lang="en-US"/>
                  <a:t>Gain</a:t>
                </a:r>
                <a:r>
                  <a:rPr lang="en-US" baseline="0"/>
                  <a:t> (dB)</a:t>
                </a:r>
                <a:endParaRPr lang="en-US"/>
              </a:p>
            </c:rich>
          </c:tx>
          <c:overlay val="0"/>
        </c:title>
        <c:numFmt formatCode="General" sourceLinked="0"/>
        <c:majorTickMark val="out"/>
        <c:minorTickMark val="none"/>
        <c:tickLblPos val="nextTo"/>
        <c:crossAx val="162497664"/>
        <c:crosses val="autoZero"/>
        <c:crossBetween val="midCat"/>
        <c:majorUnit val="20"/>
        <c:minorUnit val="10"/>
      </c:valAx>
      <c:valAx>
        <c:axId val="162526336"/>
        <c:scaling>
          <c:orientation val="minMax"/>
          <c:max val="180"/>
          <c:min val="-180"/>
        </c:scaling>
        <c:delete val="0"/>
        <c:axPos val="r"/>
        <c:numFmt formatCode="General" sourceLinked="1"/>
        <c:majorTickMark val="out"/>
        <c:minorTickMark val="none"/>
        <c:tickLblPos val="nextTo"/>
        <c:crossAx val="162527872"/>
        <c:crosses val="max"/>
        <c:crossBetween val="midCat"/>
        <c:majorUnit val="90"/>
        <c:minorUnit val="45"/>
      </c:valAx>
      <c:valAx>
        <c:axId val="162527872"/>
        <c:scaling>
          <c:logBase val="10"/>
          <c:orientation val="minMax"/>
        </c:scaling>
        <c:delete val="1"/>
        <c:axPos val="b"/>
        <c:numFmt formatCode="0.00" sourceLinked="1"/>
        <c:majorTickMark val="out"/>
        <c:minorTickMark val="none"/>
        <c:tickLblPos val="nextTo"/>
        <c:crossAx val="162526336"/>
        <c:crosses val="autoZero"/>
        <c:crossBetween val="midCat"/>
      </c:valAx>
    </c:plotArea>
    <c:legend>
      <c:legendPos val="r"/>
      <c:layout>
        <c:manualLayout>
          <c:xMode val="edge"/>
          <c:yMode val="edge"/>
          <c:x val="0.79880558209512509"/>
          <c:y val="0.14321997959862004"/>
          <c:w val="0.13459449276057311"/>
          <c:h val="0.10691609861199437"/>
        </c:manualLayout>
      </c:layout>
      <c:overlay val="1"/>
      <c:spPr>
        <a:solidFill>
          <a:schemeClr val="bg1"/>
        </a:solidFill>
      </c:spPr>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TW"/>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Error</a:t>
            </a:r>
            <a:r>
              <a:rPr lang="en-US" baseline="0"/>
              <a:t> Amplifier Transfer</a:t>
            </a:r>
          </a:p>
        </c:rich>
      </c:tx>
      <c:overlay val="0"/>
    </c:title>
    <c:autoTitleDeleted val="0"/>
    <c:plotArea>
      <c:layout/>
      <c:scatterChart>
        <c:scatterStyle val="smoothMarker"/>
        <c:varyColors val="0"/>
        <c:ser>
          <c:idx val="0"/>
          <c:order val="0"/>
          <c:marker>
            <c:symbol val="none"/>
          </c:marker>
          <c:xVal>
            <c:numRef>
              <c:f>Loop_Modeling!$O$19:$O$560</c:f>
              <c:numCache>
                <c:formatCode>0.00</c:formatCode>
                <c:ptCount val="542"/>
                <c:pt idx="0">
                  <c:v>10.232929922807543</c:v>
                </c:pt>
                <c:pt idx="1">
                  <c:v>10.471285480509</c:v>
                </c:pt>
                <c:pt idx="2">
                  <c:v>10.715193052376069</c:v>
                </c:pt>
                <c:pt idx="3">
                  <c:v>10.964781961431854</c:v>
                </c:pt>
                <c:pt idx="4">
                  <c:v>11.220184543019636</c:v>
                </c:pt>
                <c:pt idx="5">
                  <c:v>11.481536214968834</c:v>
                </c:pt>
                <c:pt idx="6">
                  <c:v>11.748975549395301</c:v>
                </c:pt>
                <c:pt idx="7">
                  <c:v>12.022644346174133</c:v>
                </c:pt>
                <c:pt idx="8">
                  <c:v>12.302687708123818</c:v>
                </c:pt>
                <c:pt idx="9">
                  <c:v>12.58925411794168</c:v>
                </c:pt>
                <c:pt idx="10">
                  <c:v>12.882495516931346</c:v>
                </c:pt>
                <c:pt idx="11">
                  <c:v>13.182567385564075</c:v>
                </c:pt>
                <c:pt idx="12">
                  <c:v>13.489628825916535</c:v>
                </c:pt>
                <c:pt idx="13">
                  <c:v>13.803842646028857</c:v>
                </c:pt>
                <c:pt idx="14">
                  <c:v>14.125375446227544</c:v>
                </c:pt>
                <c:pt idx="15">
                  <c:v>14.454397707459275</c:v>
                </c:pt>
                <c:pt idx="16">
                  <c:v>14.791083881682074</c:v>
                </c:pt>
                <c:pt idx="17">
                  <c:v>15.135612484362087</c:v>
                </c:pt>
                <c:pt idx="18">
                  <c:v>15.488166189124817</c:v>
                </c:pt>
                <c:pt idx="19">
                  <c:v>15.848931924611136</c:v>
                </c:pt>
                <c:pt idx="20">
                  <c:v>16.218100973589298</c:v>
                </c:pt>
                <c:pt idx="21">
                  <c:v>16.595869074375614</c:v>
                </c:pt>
                <c:pt idx="22">
                  <c:v>16.982436524617448</c:v>
                </c:pt>
                <c:pt idx="23">
                  <c:v>17.378008287493756</c:v>
                </c:pt>
                <c:pt idx="24">
                  <c:v>17.782794100389236</c:v>
                </c:pt>
                <c:pt idx="25">
                  <c:v>18.197008586099841</c:v>
                </c:pt>
                <c:pt idx="26">
                  <c:v>18.62087136662868</c:v>
                </c:pt>
                <c:pt idx="27">
                  <c:v>19.054607179632477</c:v>
                </c:pt>
                <c:pt idx="28">
                  <c:v>19.498445997580465</c:v>
                </c:pt>
                <c:pt idx="29">
                  <c:v>19.952623149688804</c:v>
                </c:pt>
                <c:pt idx="30">
                  <c:v>20.4173794466953</c:v>
                </c:pt>
                <c:pt idx="31">
                  <c:v>20.8929613085404</c:v>
                </c:pt>
                <c:pt idx="32">
                  <c:v>21.379620895022335</c:v>
                </c:pt>
                <c:pt idx="33">
                  <c:v>21.877616239495538</c:v>
                </c:pt>
                <c:pt idx="34">
                  <c:v>22.387211385683404</c:v>
                </c:pt>
                <c:pt idx="35">
                  <c:v>22.908676527677727</c:v>
                </c:pt>
                <c:pt idx="36">
                  <c:v>23.442288153199236</c:v>
                </c:pt>
                <c:pt idx="37">
                  <c:v>23.988329190194907</c:v>
                </c:pt>
                <c:pt idx="38">
                  <c:v>24.547089156850316</c:v>
                </c:pt>
                <c:pt idx="39">
                  <c:v>25.118864315095799</c:v>
                </c:pt>
                <c:pt idx="40">
                  <c:v>25.703957827688647</c:v>
                </c:pt>
                <c:pt idx="41">
                  <c:v>26.302679918953825</c:v>
                </c:pt>
                <c:pt idx="42">
                  <c:v>26.915348039269158</c:v>
                </c:pt>
                <c:pt idx="43">
                  <c:v>27.542287033381665</c:v>
                </c:pt>
                <c:pt idx="44">
                  <c:v>28.183829312644548</c:v>
                </c:pt>
                <c:pt idx="45">
                  <c:v>28.840315031266066</c:v>
                </c:pt>
                <c:pt idx="46">
                  <c:v>29.512092266663863</c:v>
                </c:pt>
                <c:pt idx="47">
                  <c:v>30.199517204020164</c:v>
                </c:pt>
                <c:pt idx="48">
                  <c:v>30.902954325135919</c:v>
                </c:pt>
                <c:pt idx="49">
                  <c:v>31.622776601683803</c:v>
                </c:pt>
                <c:pt idx="50">
                  <c:v>32.359365692962832</c:v>
                </c:pt>
                <c:pt idx="51">
                  <c:v>33.113112148259127</c:v>
                </c:pt>
                <c:pt idx="52">
                  <c:v>33.884415613920268</c:v>
                </c:pt>
                <c:pt idx="53">
                  <c:v>34.67368504525318</c:v>
                </c:pt>
                <c:pt idx="54">
                  <c:v>35.481338923357555</c:v>
                </c:pt>
                <c:pt idx="55">
                  <c:v>36.307805477010156</c:v>
                </c:pt>
                <c:pt idx="56">
                  <c:v>37.15352290971726</c:v>
                </c:pt>
                <c:pt idx="57">
                  <c:v>38.018939632056139</c:v>
                </c:pt>
                <c:pt idx="58">
                  <c:v>38.904514499428053</c:v>
                </c:pt>
                <c:pt idx="59">
                  <c:v>39.810717055349755</c:v>
                </c:pt>
                <c:pt idx="60">
                  <c:v>40.738027780411279</c:v>
                </c:pt>
                <c:pt idx="61">
                  <c:v>41.686938347033561</c:v>
                </c:pt>
                <c:pt idx="62">
                  <c:v>42.657951880159267</c:v>
                </c:pt>
                <c:pt idx="63">
                  <c:v>43.651583224016633</c:v>
                </c:pt>
                <c:pt idx="64">
                  <c:v>44.668359215096324</c:v>
                </c:pt>
                <c:pt idx="65">
                  <c:v>45.70881896148753</c:v>
                </c:pt>
                <c:pt idx="66">
                  <c:v>46.773514128719818</c:v>
                </c:pt>
                <c:pt idx="67">
                  <c:v>47.863009232263877</c:v>
                </c:pt>
                <c:pt idx="68">
                  <c:v>48.977881936844632</c:v>
                </c:pt>
                <c:pt idx="69">
                  <c:v>50.118723362727238</c:v>
                </c:pt>
                <c:pt idx="70">
                  <c:v>51.28613839913649</c:v>
                </c:pt>
                <c:pt idx="71">
                  <c:v>52.480746024977286</c:v>
                </c:pt>
                <c:pt idx="72">
                  <c:v>53.703179637025293</c:v>
                </c:pt>
                <c:pt idx="73">
                  <c:v>54.95408738576247</c:v>
                </c:pt>
                <c:pt idx="74">
                  <c:v>56.234132519034915</c:v>
                </c:pt>
                <c:pt idx="75">
                  <c:v>57.543993733715695</c:v>
                </c:pt>
                <c:pt idx="76">
                  <c:v>58.884365535558949</c:v>
                </c:pt>
                <c:pt idx="77">
                  <c:v>60.255958607435822</c:v>
                </c:pt>
                <c:pt idx="78">
                  <c:v>61.659500186148257</c:v>
                </c:pt>
                <c:pt idx="79">
                  <c:v>63.095734448019364</c:v>
                </c:pt>
                <c:pt idx="80">
                  <c:v>64.565422903465588</c:v>
                </c:pt>
                <c:pt idx="81">
                  <c:v>66.069344800759623</c:v>
                </c:pt>
                <c:pt idx="82">
                  <c:v>67.60829753919819</c:v>
                </c:pt>
                <c:pt idx="83">
                  <c:v>69.183097091893657</c:v>
                </c:pt>
                <c:pt idx="84">
                  <c:v>70.794578438413865</c:v>
                </c:pt>
                <c:pt idx="85">
                  <c:v>72.443596007499011</c:v>
                </c:pt>
                <c:pt idx="86">
                  <c:v>74.131024130091816</c:v>
                </c:pt>
                <c:pt idx="87">
                  <c:v>75.857757502918361</c:v>
                </c:pt>
                <c:pt idx="88">
                  <c:v>77.624711662869217</c:v>
                </c:pt>
                <c:pt idx="89">
                  <c:v>79.432823472428197</c:v>
                </c:pt>
                <c:pt idx="90">
                  <c:v>81.283051616409963</c:v>
                </c:pt>
                <c:pt idx="91">
                  <c:v>83.176377110267126</c:v>
                </c:pt>
                <c:pt idx="92">
                  <c:v>85.113803820237734</c:v>
                </c:pt>
                <c:pt idx="93">
                  <c:v>87.096358995608071</c:v>
                </c:pt>
                <c:pt idx="94">
                  <c:v>89.125093813374562</c:v>
                </c:pt>
                <c:pt idx="95">
                  <c:v>91.201083935590972</c:v>
                </c:pt>
                <c:pt idx="96">
                  <c:v>93.325430079699174</c:v>
                </c:pt>
                <c:pt idx="97">
                  <c:v>95.499258602143655</c:v>
                </c:pt>
                <c:pt idx="98">
                  <c:v>97.723722095581124</c:v>
                </c:pt>
                <c:pt idx="99">
                  <c:v>100</c:v>
                </c:pt>
                <c:pt idx="100">
                  <c:v>102.32929922807544</c:v>
                </c:pt>
                <c:pt idx="101">
                  <c:v>104.71285480508998</c:v>
                </c:pt>
                <c:pt idx="102">
                  <c:v>107.15193052376065</c:v>
                </c:pt>
                <c:pt idx="103">
                  <c:v>109.64781961431861</c:v>
                </c:pt>
                <c:pt idx="104">
                  <c:v>112.20184543019634</c:v>
                </c:pt>
                <c:pt idx="105">
                  <c:v>114.81536214968835</c:v>
                </c:pt>
                <c:pt idx="106">
                  <c:v>117.48975549395293</c:v>
                </c:pt>
                <c:pt idx="107">
                  <c:v>120.22644346174135</c:v>
                </c:pt>
                <c:pt idx="108">
                  <c:v>123.02687708123821</c:v>
                </c:pt>
                <c:pt idx="109">
                  <c:v>125.89254117941677</c:v>
                </c:pt>
                <c:pt idx="110">
                  <c:v>128.82495516931343</c:v>
                </c:pt>
                <c:pt idx="111">
                  <c:v>131.82567385564084</c:v>
                </c:pt>
                <c:pt idx="112">
                  <c:v>134.89628825916537</c:v>
                </c:pt>
                <c:pt idx="113">
                  <c:v>138.0384264602886</c:v>
                </c:pt>
                <c:pt idx="114">
                  <c:v>141.25375446227542</c:v>
                </c:pt>
                <c:pt idx="115">
                  <c:v>144.54397707459285</c:v>
                </c:pt>
                <c:pt idx="116">
                  <c:v>147.91083881682084</c:v>
                </c:pt>
                <c:pt idx="117">
                  <c:v>151.3561248436209</c:v>
                </c:pt>
                <c:pt idx="118">
                  <c:v>154.8816618912482</c:v>
                </c:pt>
                <c:pt idx="119">
                  <c:v>158.48931924611153</c:v>
                </c:pt>
                <c:pt idx="120">
                  <c:v>162.18100973589304</c:v>
                </c:pt>
                <c:pt idx="121">
                  <c:v>165.95869074375622</c:v>
                </c:pt>
                <c:pt idx="122">
                  <c:v>169.82436524617444</c:v>
                </c:pt>
                <c:pt idx="123">
                  <c:v>173.78008287493768</c:v>
                </c:pt>
                <c:pt idx="124">
                  <c:v>177.82794100389242</c:v>
                </c:pt>
                <c:pt idx="125">
                  <c:v>181.9700858609983</c:v>
                </c:pt>
                <c:pt idx="126">
                  <c:v>186.20871366628685</c:v>
                </c:pt>
                <c:pt idx="127">
                  <c:v>190.54607179632498</c:v>
                </c:pt>
                <c:pt idx="128">
                  <c:v>194.98445997580458</c:v>
                </c:pt>
                <c:pt idx="129">
                  <c:v>199.52623149688802</c:v>
                </c:pt>
                <c:pt idx="130">
                  <c:v>204.17379446695315</c:v>
                </c:pt>
                <c:pt idx="131">
                  <c:v>208.92961308540396</c:v>
                </c:pt>
                <c:pt idx="132">
                  <c:v>213.79620895022339</c:v>
                </c:pt>
                <c:pt idx="133">
                  <c:v>218.77616239495524</c:v>
                </c:pt>
                <c:pt idx="134">
                  <c:v>223.87211385683412</c:v>
                </c:pt>
                <c:pt idx="135">
                  <c:v>229.08676527677744</c:v>
                </c:pt>
                <c:pt idx="136">
                  <c:v>234.42288153199232</c:v>
                </c:pt>
                <c:pt idx="137">
                  <c:v>239.88329190194912</c:v>
                </c:pt>
                <c:pt idx="138">
                  <c:v>245.4708915685033</c:v>
                </c:pt>
                <c:pt idx="139">
                  <c:v>251.18864315095806</c:v>
                </c:pt>
                <c:pt idx="140">
                  <c:v>257.03957827688663</c:v>
                </c:pt>
                <c:pt idx="141">
                  <c:v>263.02679918953817</c:v>
                </c:pt>
                <c:pt idx="142">
                  <c:v>269.15348039269179</c:v>
                </c:pt>
                <c:pt idx="143">
                  <c:v>275.42287033381683</c:v>
                </c:pt>
                <c:pt idx="144">
                  <c:v>281.83829312644554</c:v>
                </c:pt>
                <c:pt idx="145">
                  <c:v>288.40315031266073</c:v>
                </c:pt>
                <c:pt idx="146">
                  <c:v>295.12092266663871</c:v>
                </c:pt>
                <c:pt idx="147">
                  <c:v>301.99517204020168</c:v>
                </c:pt>
                <c:pt idx="148">
                  <c:v>309.02954325135937</c:v>
                </c:pt>
                <c:pt idx="149">
                  <c:v>316.22776601683825</c:v>
                </c:pt>
                <c:pt idx="150">
                  <c:v>323.59365692962825</c:v>
                </c:pt>
                <c:pt idx="151">
                  <c:v>331.13112148259137</c:v>
                </c:pt>
                <c:pt idx="152">
                  <c:v>338.84415613920277</c:v>
                </c:pt>
                <c:pt idx="153">
                  <c:v>346.73685045253183</c:v>
                </c:pt>
                <c:pt idx="154">
                  <c:v>354.81338923357566</c:v>
                </c:pt>
                <c:pt idx="155">
                  <c:v>363.07805477010152</c:v>
                </c:pt>
                <c:pt idx="156">
                  <c:v>371.53522909717265</c:v>
                </c:pt>
                <c:pt idx="157">
                  <c:v>380.18939632056163</c:v>
                </c:pt>
                <c:pt idx="158">
                  <c:v>389.04514499428063</c:v>
                </c:pt>
                <c:pt idx="159">
                  <c:v>398.10717055349761</c:v>
                </c:pt>
                <c:pt idx="160">
                  <c:v>407.38027780411272</c:v>
                </c:pt>
                <c:pt idx="161">
                  <c:v>416.86938347033572</c:v>
                </c:pt>
                <c:pt idx="162">
                  <c:v>426.57951880159294</c:v>
                </c:pt>
                <c:pt idx="163">
                  <c:v>436.51583224016622</c:v>
                </c:pt>
                <c:pt idx="164">
                  <c:v>446.68359215096331</c:v>
                </c:pt>
                <c:pt idx="165">
                  <c:v>457.0881896148756</c:v>
                </c:pt>
                <c:pt idx="166">
                  <c:v>467.7351412871983</c:v>
                </c:pt>
                <c:pt idx="167">
                  <c:v>478.63009232263886</c:v>
                </c:pt>
                <c:pt idx="168">
                  <c:v>489.77881936844625</c:v>
                </c:pt>
                <c:pt idx="169">
                  <c:v>501.18723362727269</c:v>
                </c:pt>
                <c:pt idx="170">
                  <c:v>512.86138399136519</c:v>
                </c:pt>
                <c:pt idx="171">
                  <c:v>524.80746024977248</c:v>
                </c:pt>
                <c:pt idx="172">
                  <c:v>537.03179637025301</c:v>
                </c:pt>
                <c:pt idx="173">
                  <c:v>549.54087385762534</c:v>
                </c:pt>
                <c:pt idx="174">
                  <c:v>562.34132519034927</c:v>
                </c:pt>
                <c:pt idx="175">
                  <c:v>575.43993733715706</c:v>
                </c:pt>
                <c:pt idx="176">
                  <c:v>588.84365535558959</c:v>
                </c:pt>
                <c:pt idx="177">
                  <c:v>602.55958607435832</c:v>
                </c:pt>
                <c:pt idx="178">
                  <c:v>616.59500186148273</c:v>
                </c:pt>
                <c:pt idx="179">
                  <c:v>630.95734448019323</c:v>
                </c:pt>
                <c:pt idx="180">
                  <c:v>645.65422903465594</c:v>
                </c:pt>
                <c:pt idx="181">
                  <c:v>660.69344800759643</c:v>
                </c:pt>
                <c:pt idx="182">
                  <c:v>676.08297539198213</c:v>
                </c:pt>
                <c:pt idx="183">
                  <c:v>691.83097091893671</c:v>
                </c:pt>
                <c:pt idx="184">
                  <c:v>707.94578438413873</c:v>
                </c:pt>
                <c:pt idx="185">
                  <c:v>724.43596007499025</c:v>
                </c:pt>
                <c:pt idx="186">
                  <c:v>741.31024130091828</c:v>
                </c:pt>
                <c:pt idx="187">
                  <c:v>758.57757502918378</c:v>
                </c:pt>
                <c:pt idx="188">
                  <c:v>776.24711662869231</c:v>
                </c:pt>
                <c:pt idx="189">
                  <c:v>794.32823472428208</c:v>
                </c:pt>
                <c:pt idx="190">
                  <c:v>812.83051616409978</c:v>
                </c:pt>
                <c:pt idx="191">
                  <c:v>831.7637711026714</c:v>
                </c:pt>
                <c:pt idx="192">
                  <c:v>851.13803820237763</c:v>
                </c:pt>
                <c:pt idx="193">
                  <c:v>870.96358995608091</c:v>
                </c:pt>
                <c:pt idx="194">
                  <c:v>891.25093813374656</c:v>
                </c:pt>
                <c:pt idx="195">
                  <c:v>912.01083935590987</c:v>
                </c:pt>
                <c:pt idx="196">
                  <c:v>933.25430079699106</c:v>
                </c:pt>
                <c:pt idx="197">
                  <c:v>954.99258602143675</c:v>
                </c:pt>
                <c:pt idx="198">
                  <c:v>977.23722095581138</c:v>
                </c:pt>
                <c:pt idx="199">
                  <c:v>1000</c:v>
                </c:pt>
                <c:pt idx="200">
                  <c:v>1023.2929922807547</c:v>
                </c:pt>
                <c:pt idx="201">
                  <c:v>1047.1285480509</c:v>
                </c:pt>
                <c:pt idx="202">
                  <c:v>1071.5193052376069</c:v>
                </c:pt>
                <c:pt idx="203">
                  <c:v>1096.4781961431863</c:v>
                </c:pt>
                <c:pt idx="204">
                  <c:v>1122.0184543019636</c:v>
                </c:pt>
                <c:pt idx="205">
                  <c:v>1148.1536214968839</c:v>
                </c:pt>
                <c:pt idx="206">
                  <c:v>1174.8975549395295</c:v>
                </c:pt>
                <c:pt idx="207">
                  <c:v>1202.2644346174138</c:v>
                </c:pt>
                <c:pt idx="208">
                  <c:v>1230.2687708123824</c:v>
                </c:pt>
                <c:pt idx="209">
                  <c:v>1258.925411794168</c:v>
                </c:pt>
                <c:pt idx="210">
                  <c:v>1288.2495516931347</c:v>
                </c:pt>
                <c:pt idx="211">
                  <c:v>1318.2567385564089</c:v>
                </c:pt>
                <c:pt idx="212">
                  <c:v>1348.9628825916541</c:v>
                </c:pt>
                <c:pt idx="213">
                  <c:v>1380.3842646028863</c:v>
                </c:pt>
                <c:pt idx="214">
                  <c:v>1412.5375446227545</c:v>
                </c:pt>
                <c:pt idx="215">
                  <c:v>1445.4397707459289</c:v>
                </c:pt>
                <c:pt idx="216">
                  <c:v>1479.1083881682086</c:v>
                </c:pt>
                <c:pt idx="217">
                  <c:v>1513.5612484362093</c:v>
                </c:pt>
                <c:pt idx="218">
                  <c:v>1548.8166189124822</c:v>
                </c:pt>
                <c:pt idx="219">
                  <c:v>1584.8931924611156</c:v>
                </c:pt>
                <c:pt idx="220">
                  <c:v>1621.8100973589308</c:v>
                </c:pt>
                <c:pt idx="221">
                  <c:v>1659.5869074375626</c:v>
                </c:pt>
                <c:pt idx="222">
                  <c:v>1698.2436524617447</c:v>
                </c:pt>
                <c:pt idx="223">
                  <c:v>1737.8008287493772</c:v>
                </c:pt>
                <c:pt idx="224">
                  <c:v>1778.2794100389244</c:v>
                </c:pt>
                <c:pt idx="225">
                  <c:v>1819.7008586099832</c:v>
                </c:pt>
                <c:pt idx="226">
                  <c:v>1862.0871366628687</c:v>
                </c:pt>
                <c:pt idx="227">
                  <c:v>1905.4607179632501</c:v>
                </c:pt>
                <c:pt idx="228">
                  <c:v>1949.8445997580463</c:v>
                </c:pt>
                <c:pt idx="229">
                  <c:v>1995.2623149688804</c:v>
                </c:pt>
                <c:pt idx="230">
                  <c:v>2041.7379446695318</c:v>
                </c:pt>
                <c:pt idx="231">
                  <c:v>2089.2961308540398</c:v>
                </c:pt>
                <c:pt idx="232">
                  <c:v>2137.9620895022344</c:v>
                </c:pt>
                <c:pt idx="233">
                  <c:v>2187.7616239495528</c:v>
                </c:pt>
                <c:pt idx="234">
                  <c:v>2238.7211385683418</c:v>
                </c:pt>
                <c:pt idx="235">
                  <c:v>2290.8676527677749</c:v>
                </c:pt>
                <c:pt idx="236">
                  <c:v>2344.2288153199238</c:v>
                </c:pt>
                <c:pt idx="237">
                  <c:v>2398.8329190194918</c:v>
                </c:pt>
                <c:pt idx="238">
                  <c:v>2454.7089156850338</c:v>
                </c:pt>
                <c:pt idx="239">
                  <c:v>2511.8864315095811</c:v>
                </c:pt>
                <c:pt idx="240">
                  <c:v>2570.3957827688669</c:v>
                </c:pt>
                <c:pt idx="241">
                  <c:v>2630.2679918953822</c:v>
                </c:pt>
                <c:pt idx="242">
                  <c:v>2691.5348039269184</c:v>
                </c:pt>
                <c:pt idx="243">
                  <c:v>2754.228703338169</c:v>
                </c:pt>
                <c:pt idx="244">
                  <c:v>2818.3829312644561</c:v>
                </c:pt>
                <c:pt idx="245">
                  <c:v>2884.0315031266077</c:v>
                </c:pt>
                <c:pt idx="246">
                  <c:v>2951.2092266663876</c:v>
                </c:pt>
                <c:pt idx="247">
                  <c:v>3019.9517204020176</c:v>
                </c:pt>
                <c:pt idx="248">
                  <c:v>3090.295432513592</c:v>
                </c:pt>
                <c:pt idx="249">
                  <c:v>3162.2776601683804</c:v>
                </c:pt>
                <c:pt idx="250">
                  <c:v>3235.9365692962833</c:v>
                </c:pt>
                <c:pt idx="251">
                  <c:v>3311.3112148259115</c:v>
                </c:pt>
                <c:pt idx="252">
                  <c:v>3388.4415613920314</c:v>
                </c:pt>
                <c:pt idx="253">
                  <c:v>3467.3685045253224</c:v>
                </c:pt>
                <c:pt idx="254">
                  <c:v>3548.1338923357539</c:v>
                </c:pt>
                <c:pt idx="255">
                  <c:v>3630.7805477010188</c:v>
                </c:pt>
                <c:pt idx="256">
                  <c:v>3715.352290971724</c:v>
                </c:pt>
                <c:pt idx="257">
                  <c:v>3801.8939632056172</c:v>
                </c:pt>
                <c:pt idx="258">
                  <c:v>3890.451449942811</c:v>
                </c:pt>
                <c:pt idx="259">
                  <c:v>3981.0717055349769</c:v>
                </c:pt>
                <c:pt idx="260">
                  <c:v>4073.8027780411317</c:v>
                </c:pt>
                <c:pt idx="261">
                  <c:v>4168.6938347033583</c:v>
                </c:pt>
                <c:pt idx="262">
                  <c:v>4265.7951880159299</c:v>
                </c:pt>
                <c:pt idx="263">
                  <c:v>4365.1583224016631</c:v>
                </c:pt>
                <c:pt idx="264">
                  <c:v>4466.8359215096343</c:v>
                </c:pt>
                <c:pt idx="265">
                  <c:v>4570.8818961487532</c:v>
                </c:pt>
                <c:pt idx="266">
                  <c:v>4677.3514128719844</c:v>
                </c:pt>
                <c:pt idx="267">
                  <c:v>4786.3009232263848</c:v>
                </c:pt>
                <c:pt idx="268">
                  <c:v>4897.7881936844633</c:v>
                </c:pt>
                <c:pt idx="269">
                  <c:v>5011.8723362727324</c:v>
                </c:pt>
                <c:pt idx="270">
                  <c:v>5128.6138399136489</c:v>
                </c:pt>
                <c:pt idx="271">
                  <c:v>5248.0746024977261</c:v>
                </c:pt>
                <c:pt idx="272">
                  <c:v>5370.3179637025269</c:v>
                </c:pt>
                <c:pt idx="273">
                  <c:v>5495.4087385762541</c:v>
                </c:pt>
                <c:pt idx="274">
                  <c:v>5623.4132519034993</c:v>
                </c:pt>
                <c:pt idx="275">
                  <c:v>5754.399373371567</c:v>
                </c:pt>
                <c:pt idx="276">
                  <c:v>5888.4365535558973</c:v>
                </c:pt>
                <c:pt idx="277">
                  <c:v>6025.595860743585</c:v>
                </c:pt>
                <c:pt idx="278">
                  <c:v>6165.9500186148289</c:v>
                </c:pt>
                <c:pt idx="279">
                  <c:v>6309.5734448019384</c:v>
                </c:pt>
                <c:pt idx="280">
                  <c:v>6456.5422903465615</c:v>
                </c:pt>
                <c:pt idx="281">
                  <c:v>6606.9344800759654</c:v>
                </c:pt>
                <c:pt idx="282">
                  <c:v>6760.8297539198229</c:v>
                </c:pt>
                <c:pt idx="283">
                  <c:v>6918.3097091893687</c:v>
                </c:pt>
                <c:pt idx="284">
                  <c:v>7079.4578438413828</c:v>
                </c:pt>
                <c:pt idx="285">
                  <c:v>7244.3596007499036</c:v>
                </c:pt>
                <c:pt idx="286">
                  <c:v>7413.1024130091773</c:v>
                </c:pt>
                <c:pt idx="287">
                  <c:v>7585.7757502918394</c:v>
                </c:pt>
                <c:pt idx="288">
                  <c:v>7762.4711662869322</c:v>
                </c:pt>
                <c:pt idx="289">
                  <c:v>7943.2823472428154</c:v>
                </c:pt>
                <c:pt idx="290">
                  <c:v>8128.3051616410066</c:v>
                </c:pt>
                <c:pt idx="291">
                  <c:v>8317.6377110267094</c:v>
                </c:pt>
                <c:pt idx="292">
                  <c:v>8511.3803820237772</c:v>
                </c:pt>
                <c:pt idx="293">
                  <c:v>8709.6358995608189</c:v>
                </c:pt>
                <c:pt idx="294">
                  <c:v>8912.5093813374679</c:v>
                </c:pt>
                <c:pt idx="295">
                  <c:v>9120.1083935591087</c:v>
                </c:pt>
                <c:pt idx="296">
                  <c:v>9332.5430079699217</c:v>
                </c:pt>
                <c:pt idx="297">
                  <c:v>9549.9258602143691</c:v>
                </c:pt>
                <c:pt idx="298">
                  <c:v>9772.3722095581161</c:v>
                </c:pt>
                <c:pt idx="299">
                  <c:v>10000</c:v>
                </c:pt>
                <c:pt idx="300">
                  <c:v>10232.929922807549</c:v>
                </c:pt>
                <c:pt idx="301">
                  <c:v>10471.285480509003</c:v>
                </c:pt>
                <c:pt idx="302">
                  <c:v>10715.193052376071</c:v>
                </c:pt>
                <c:pt idx="303">
                  <c:v>10964.781961431856</c:v>
                </c:pt>
                <c:pt idx="304">
                  <c:v>11220.184543019639</c:v>
                </c:pt>
                <c:pt idx="305">
                  <c:v>11481.536214968832</c:v>
                </c:pt>
                <c:pt idx="306">
                  <c:v>11748.975549395318</c:v>
                </c:pt>
                <c:pt idx="307">
                  <c:v>12022.644346174151</c:v>
                </c:pt>
                <c:pt idx="308">
                  <c:v>12302.687708123816</c:v>
                </c:pt>
                <c:pt idx="309">
                  <c:v>12589.254117941671</c:v>
                </c:pt>
                <c:pt idx="310">
                  <c:v>12882.49551693136</c:v>
                </c:pt>
                <c:pt idx="311">
                  <c:v>13182.567385564091</c:v>
                </c:pt>
                <c:pt idx="312">
                  <c:v>13489.628825916556</c:v>
                </c:pt>
                <c:pt idx="313">
                  <c:v>13803.842646028841</c:v>
                </c:pt>
                <c:pt idx="314">
                  <c:v>14125.375446227561</c:v>
                </c:pt>
                <c:pt idx="315">
                  <c:v>14454.397707459291</c:v>
                </c:pt>
                <c:pt idx="316">
                  <c:v>14791.083881682089</c:v>
                </c:pt>
                <c:pt idx="317">
                  <c:v>15135.612484362096</c:v>
                </c:pt>
                <c:pt idx="318">
                  <c:v>15488.166189124853</c:v>
                </c:pt>
                <c:pt idx="319">
                  <c:v>15848.931924611146</c:v>
                </c:pt>
                <c:pt idx="320">
                  <c:v>16218.100973589309</c:v>
                </c:pt>
                <c:pt idx="321">
                  <c:v>16595.869074375616</c:v>
                </c:pt>
                <c:pt idx="322">
                  <c:v>16982.436524617482</c:v>
                </c:pt>
                <c:pt idx="323">
                  <c:v>17378.008287493791</c:v>
                </c:pt>
                <c:pt idx="324">
                  <c:v>17782.794100389234</c:v>
                </c:pt>
                <c:pt idx="325">
                  <c:v>18197.008586099837</c:v>
                </c:pt>
                <c:pt idx="326">
                  <c:v>18620.871366628675</c:v>
                </c:pt>
                <c:pt idx="327">
                  <c:v>19054.607179632505</c:v>
                </c:pt>
                <c:pt idx="328">
                  <c:v>19498.445997580486</c:v>
                </c:pt>
                <c:pt idx="329">
                  <c:v>19952.623149688792</c:v>
                </c:pt>
                <c:pt idx="330">
                  <c:v>20417.379446695286</c:v>
                </c:pt>
                <c:pt idx="331">
                  <c:v>20892.961308540423</c:v>
                </c:pt>
                <c:pt idx="332">
                  <c:v>21379.620895022348</c:v>
                </c:pt>
                <c:pt idx="333">
                  <c:v>21877.61623949555</c:v>
                </c:pt>
                <c:pt idx="334">
                  <c:v>22387.211385683382</c:v>
                </c:pt>
                <c:pt idx="335">
                  <c:v>22908.676527677751</c:v>
                </c:pt>
                <c:pt idx="336">
                  <c:v>23442.288153199243</c:v>
                </c:pt>
                <c:pt idx="337">
                  <c:v>23988.329190194923</c:v>
                </c:pt>
                <c:pt idx="338">
                  <c:v>24547.089156850321</c:v>
                </c:pt>
                <c:pt idx="339">
                  <c:v>25118.86431509586</c:v>
                </c:pt>
                <c:pt idx="340">
                  <c:v>25703.95782768865</c:v>
                </c:pt>
                <c:pt idx="341">
                  <c:v>26302.679918953829</c:v>
                </c:pt>
                <c:pt idx="342">
                  <c:v>26915.348039269167</c:v>
                </c:pt>
                <c:pt idx="343">
                  <c:v>27542.287033381719</c:v>
                </c:pt>
                <c:pt idx="344">
                  <c:v>28183.829312644593</c:v>
                </c:pt>
                <c:pt idx="345">
                  <c:v>28840.315031266062</c:v>
                </c:pt>
                <c:pt idx="346">
                  <c:v>29512.092266663854</c:v>
                </c:pt>
                <c:pt idx="347">
                  <c:v>30199.517204020212</c:v>
                </c:pt>
                <c:pt idx="348">
                  <c:v>30902.954325135954</c:v>
                </c:pt>
                <c:pt idx="349">
                  <c:v>31622.77660168384</c:v>
                </c:pt>
                <c:pt idx="350">
                  <c:v>32359.365692962871</c:v>
                </c:pt>
                <c:pt idx="351">
                  <c:v>33113.11214825909</c:v>
                </c:pt>
                <c:pt idx="352">
                  <c:v>33884.41561392029</c:v>
                </c:pt>
                <c:pt idx="353">
                  <c:v>34673.685045253202</c:v>
                </c:pt>
                <c:pt idx="354">
                  <c:v>35481.33892335758</c:v>
                </c:pt>
                <c:pt idx="355">
                  <c:v>36307.805477010232</c:v>
                </c:pt>
                <c:pt idx="356">
                  <c:v>37153.522909717351</c:v>
                </c:pt>
                <c:pt idx="357">
                  <c:v>38018.939632056143</c:v>
                </c:pt>
                <c:pt idx="358">
                  <c:v>38904.514499428085</c:v>
                </c:pt>
                <c:pt idx="359">
                  <c:v>39810.717055349742</c:v>
                </c:pt>
                <c:pt idx="360">
                  <c:v>40738.027780411358</c:v>
                </c:pt>
                <c:pt idx="361">
                  <c:v>41686.938347033625</c:v>
                </c:pt>
                <c:pt idx="362">
                  <c:v>42657.951880159271</c:v>
                </c:pt>
                <c:pt idx="363">
                  <c:v>43651.583224016598</c:v>
                </c:pt>
                <c:pt idx="364">
                  <c:v>44668.359215096389</c:v>
                </c:pt>
                <c:pt idx="365">
                  <c:v>45708.818961487581</c:v>
                </c:pt>
                <c:pt idx="366">
                  <c:v>46773.514128719893</c:v>
                </c:pt>
                <c:pt idx="367">
                  <c:v>47863.009232263823</c:v>
                </c:pt>
                <c:pt idx="368">
                  <c:v>48977.881936844598</c:v>
                </c:pt>
                <c:pt idx="369">
                  <c:v>50118.723362727294</c:v>
                </c:pt>
                <c:pt idx="370">
                  <c:v>51286.138399136544</c:v>
                </c:pt>
                <c:pt idx="371">
                  <c:v>52480.746024977314</c:v>
                </c:pt>
                <c:pt idx="372">
                  <c:v>53703.179637025423</c:v>
                </c:pt>
                <c:pt idx="373">
                  <c:v>54954.087385762505</c:v>
                </c:pt>
                <c:pt idx="374">
                  <c:v>56234.132519034953</c:v>
                </c:pt>
                <c:pt idx="375">
                  <c:v>57543.993733715732</c:v>
                </c:pt>
                <c:pt idx="376">
                  <c:v>58884.365535558936</c:v>
                </c:pt>
                <c:pt idx="377">
                  <c:v>60255.95860743591</c:v>
                </c:pt>
                <c:pt idx="378">
                  <c:v>61659.500186148245</c:v>
                </c:pt>
                <c:pt idx="379">
                  <c:v>63095.734448019342</c:v>
                </c:pt>
                <c:pt idx="380">
                  <c:v>64565.422903465682</c:v>
                </c:pt>
                <c:pt idx="381">
                  <c:v>66069.344800759733</c:v>
                </c:pt>
                <c:pt idx="382">
                  <c:v>67608.297539198305</c:v>
                </c:pt>
                <c:pt idx="383">
                  <c:v>69183.097091893651</c:v>
                </c:pt>
                <c:pt idx="384">
                  <c:v>70794.578438413781</c:v>
                </c:pt>
                <c:pt idx="385">
                  <c:v>72443.596007499116</c:v>
                </c:pt>
                <c:pt idx="386">
                  <c:v>74131.024130091857</c:v>
                </c:pt>
                <c:pt idx="387">
                  <c:v>75857.757502918481</c:v>
                </c:pt>
                <c:pt idx="388">
                  <c:v>77624.711662869129</c:v>
                </c:pt>
                <c:pt idx="389">
                  <c:v>79432.823472428237</c:v>
                </c:pt>
                <c:pt idx="390">
                  <c:v>81283.051616410012</c:v>
                </c:pt>
                <c:pt idx="391">
                  <c:v>83176.377110267174</c:v>
                </c:pt>
                <c:pt idx="392">
                  <c:v>85113.803820237721</c:v>
                </c:pt>
                <c:pt idx="393">
                  <c:v>87096.358995608127</c:v>
                </c:pt>
                <c:pt idx="394">
                  <c:v>89125.093813374609</c:v>
                </c:pt>
                <c:pt idx="395">
                  <c:v>91201.083935591028</c:v>
                </c:pt>
                <c:pt idx="396">
                  <c:v>93325.430079699145</c:v>
                </c:pt>
                <c:pt idx="397">
                  <c:v>95499.258602143804</c:v>
                </c:pt>
                <c:pt idx="398">
                  <c:v>97723.722095581266</c:v>
                </c:pt>
                <c:pt idx="399">
                  <c:v>100000</c:v>
                </c:pt>
                <c:pt idx="400">
                  <c:v>102329.29922807543</c:v>
                </c:pt>
                <c:pt idx="401">
                  <c:v>104712.85480508996</c:v>
                </c:pt>
                <c:pt idx="402">
                  <c:v>107151.93052376082</c:v>
                </c:pt>
                <c:pt idx="403">
                  <c:v>109647.81961431868</c:v>
                </c:pt>
                <c:pt idx="404">
                  <c:v>112201.84543019651</c:v>
                </c:pt>
                <c:pt idx="405">
                  <c:v>114815.36214968823</c:v>
                </c:pt>
                <c:pt idx="406">
                  <c:v>117489.75549395311</c:v>
                </c:pt>
                <c:pt idx="407">
                  <c:v>120226.44346174144</c:v>
                </c:pt>
                <c:pt idx="408">
                  <c:v>123026.87708123829</c:v>
                </c:pt>
                <c:pt idx="409">
                  <c:v>125892.54117941685</c:v>
                </c:pt>
                <c:pt idx="410">
                  <c:v>128824.95516931375</c:v>
                </c:pt>
                <c:pt idx="411">
                  <c:v>131825.67385564081</c:v>
                </c:pt>
                <c:pt idx="412">
                  <c:v>134896.28825916545</c:v>
                </c:pt>
                <c:pt idx="413">
                  <c:v>138038.42646028858</c:v>
                </c:pt>
                <c:pt idx="414">
                  <c:v>141253.75446227577</c:v>
                </c:pt>
                <c:pt idx="415">
                  <c:v>144543.97707459307</c:v>
                </c:pt>
                <c:pt idx="416">
                  <c:v>147910.83881682079</c:v>
                </c:pt>
                <c:pt idx="417">
                  <c:v>151356.12484362084</c:v>
                </c:pt>
                <c:pt idx="418">
                  <c:v>154881.66189124843</c:v>
                </c:pt>
                <c:pt idx="419">
                  <c:v>158489.31924611164</c:v>
                </c:pt>
                <c:pt idx="420">
                  <c:v>162181.00973589328</c:v>
                </c:pt>
                <c:pt idx="421">
                  <c:v>165958.69074375604</c:v>
                </c:pt>
                <c:pt idx="422">
                  <c:v>169824.36524617471</c:v>
                </c:pt>
                <c:pt idx="423">
                  <c:v>173780.0828749378</c:v>
                </c:pt>
                <c:pt idx="424">
                  <c:v>177827.94100389251</c:v>
                </c:pt>
                <c:pt idx="425">
                  <c:v>181970.08586099857</c:v>
                </c:pt>
                <c:pt idx="426">
                  <c:v>186208.71366628664</c:v>
                </c:pt>
                <c:pt idx="427">
                  <c:v>190546.07179632492</c:v>
                </c:pt>
                <c:pt idx="428">
                  <c:v>194984.45997580473</c:v>
                </c:pt>
                <c:pt idx="429">
                  <c:v>199526.23149688813</c:v>
                </c:pt>
                <c:pt idx="430">
                  <c:v>204173.79446695308</c:v>
                </c:pt>
                <c:pt idx="431">
                  <c:v>208929.61308540447</c:v>
                </c:pt>
                <c:pt idx="432">
                  <c:v>213796.20895022334</c:v>
                </c:pt>
                <c:pt idx="433">
                  <c:v>218776.16239495538</c:v>
                </c:pt>
                <c:pt idx="434">
                  <c:v>223872.11385683404</c:v>
                </c:pt>
                <c:pt idx="435">
                  <c:v>229086.76527677779</c:v>
                </c:pt>
                <c:pt idx="436">
                  <c:v>234422.88153199267</c:v>
                </c:pt>
                <c:pt idx="437">
                  <c:v>239883.29190194907</c:v>
                </c:pt>
                <c:pt idx="438">
                  <c:v>245470.89156850305</c:v>
                </c:pt>
                <c:pt idx="439">
                  <c:v>251188.64315095844</c:v>
                </c:pt>
                <c:pt idx="440">
                  <c:v>257039.57827688678</c:v>
                </c:pt>
                <c:pt idx="441">
                  <c:v>263026.79918953858</c:v>
                </c:pt>
                <c:pt idx="442">
                  <c:v>269153.48039269145</c:v>
                </c:pt>
                <c:pt idx="443">
                  <c:v>275422.87033381703</c:v>
                </c:pt>
                <c:pt idx="444">
                  <c:v>281838.29312644573</c:v>
                </c:pt>
                <c:pt idx="445">
                  <c:v>288403.1503126609</c:v>
                </c:pt>
                <c:pt idx="446">
                  <c:v>295120.92266663886</c:v>
                </c:pt>
                <c:pt idx="447">
                  <c:v>301995.17204020242</c:v>
                </c:pt>
                <c:pt idx="448">
                  <c:v>309029.54325135931</c:v>
                </c:pt>
                <c:pt idx="449">
                  <c:v>316227.7660168382</c:v>
                </c:pt>
                <c:pt idx="450">
                  <c:v>323593.65692962846</c:v>
                </c:pt>
                <c:pt idx="451">
                  <c:v>331131.12148259126</c:v>
                </c:pt>
                <c:pt idx="452">
                  <c:v>338844.15613920329</c:v>
                </c:pt>
                <c:pt idx="453">
                  <c:v>346736.85045253241</c:v>
                </c:pt>
                <c:pt idx="454">
                  <c:v>354813.38923357555</c:v>
                </c:pt>
                <c:pt idx="455">
                  <c:v>363078.05477010203</c:v>
                </c:pt>
                <c:pt idx="456">
                  <c:v>371535.2290971732</c:v>
                </c:pt>
                <c:pt idx="457">
                  <c:v>380189.39632056188</c:v>
                </c:pt>
                <c:pt idx="458">
                  <c:v>389045.14499428123</c:v>
                </c:pt>
                <c:pt idx="459">
                  <c:v>398107.17055349716</c:v>
                </c:pt>
                <c:pt idx="460">
                  <c:v>407380.27780411334</c:v>
                </c:pt>
                <c:pt idx="461">
                  <c:v>416869.38347033598</c:v>
                </c:pt>
                <c:pt idx="462">
                  <c:v>426579.51880159322</c:v>
                </c:pt>
                <c:pt idx="463">
                  <c:v>436515.83224016649</c:v>
                </c:pt>
                <c:pt idx="464">
                  <c:v>446683.59215096442</c:v>
                </c:pt>
                <c:pt idx="465">
                  <c:v>457088.18961487547</c:v>
                </c:pt>
                <c:pt idx="466">
                  <c:v>467735.14128719864</c:v>
                </c:pt>
                <c:pt idx="467">
                  <c:v>478630.09232263872</c:v>
                </c:pt>
                <c:pt idx="468">
                  <c:v>489778.81936844654</c:v>
                </c:pt>
                <c:pt idx="469">
                  <c:v>501187.23362727347</c:v>
                </c:pt>
                <c:pt idx="470">
                  <c:v>512861.38399136515</c:v>
                </c:pt>
                <c:pt idx="471">
                  <c:v>524807.46024977288</c:v>
                </c:pt>
                <c:pt idx="472">
                  <c:v>537031.7963702539</c:v>
                </c:pt>
                <c:pt idx="473">
                  <c:v>549540.87385762564</c:v>
                </c:pt>
                <c:pt idx="474">
                  <c:v>562341.32519035018</c:v>
                </c:pt>
                <c:pt idx="475">
                  <c:v>575439.93733715697</c:v>
                </c:pt>
                <c:pt idx="476">
                  <c:v>588843.65535558888</c:v>
                </c:pt>
                <c:pt idx="477">
                  <c:v>602559.58607435878</c:v>
                </c:pt>
                <c:pt idx="478">
                  <c:v>616595.00186148309</c:v>
                </c:pt>
                <c:pt idx="479">
                  <c:v>630957.34448019415</c:v>
                </c:pt>
                <c:pt idx="480">
                  <c:v>645654.22903465747</c:v>
                </c:pt>
                <c:pt idx="481">
                  <c:v>660693.44800759677</c:v>
                </c:pt>
                <c:pt idx="482">
                  <c:v>676082.97539198259</c:v>
                </c:pt>
                <c:pt idx="483">
                  <c:v>691830.97091893724</c:v>
                </c:pt>
                <c:pt idx="484">
                  <c:v>707945.78438413853</c:v>
                </c:pt>
                <c:pt idx="485">
                  <c:v>724435.96007499192</c:v>
                </c:pt>
                <c:pt idx="486">
                  <c:v>741310.24130091805</c:v>
                </c:pt>
                <c:pt idx="487">
                  <c:v>758577.57502918423</c:v>
                </c:pt>
                <c:pt idx="488">
                  <c:v>776247.11662869214</c:v>
                </c:pt>
                <c:pt idx="489">
                  <c:v>794328.23472428333</c:v>
                </c:pt>
                <c:pt idx="490">
                  <c:v>812830.51616410096</c:v>
                </c:pt>
                <c:pt idx="491">
                  <c:v>831763.77110267128</c:v>
                </c:pt>
                <c:pt idx="492">
                  <c:v>851138.03820237669</c:v>
                </c:pt>
                <c:pt idx="493">
                  <c:v>870963.58995608077</c:v>
                </c:pt>
                <c:pt idx="494">
                  <c:v>891250.93813374708</c:v>
                </c:pt>
                <c:pt idx="495">
                  <c:v>912010.83935591124</c:v>
                </c:pt>
                <c:pt idx="496">
                  <c:v>933254.30079699249</c:v>
                </c:pt>
                <c:pt idx="497">
                  <c:v>954992.58602143743</c:v>
                </c:pt>
                <c:pt idx="498">
                  <c:v>977237.22095581202</c:v>
                </c:pt>
                <c:pt idx="499">
                  <c:v>1000000</c:v>
                </c:pt>
                <c:pt idx="500">
                  <c:v>1023292.9922807553</c:v>
                </c:pt>
                <c:pt idx="501">
                  <c:v>1047128.5480509007</c:v>
                </c:pt>
                <c:pt idx="502">
                  <c:v>1071519.3052376076</c:v>
                </c:pt>
                <c:pt idx="503">
                  <c:v>1096478.196143186</c:v>
                </c:pt>
                <c:pt idx="504">
                  <c:v>1122018.4543019643</c:v>
                </c:pt>
                <c:pt idx="505">
                  <c:v>1148153.6214968837</c:v>
                </c:pt>
                <c:pt idx="506">
                  <c:v>1174897.5549395324</c:v>
                </c:pt>
                <c:pt idx="507">
                  <c:v>1202264.4346174158</c:v>
                </c:pt>
                <c:pt idx="508">
                  <c:v>1230268.770812382</c:v>
                </c:pt>
                <c:pt idx="509">
                  <c:v>1258925.4117941677</c:v>
                </c:pt>
                <c:pt idx="510">
                  <c:v>1288249.5516931366</c:v>
                </c:pt>
                <c:pt idx="511">
                  <c:v>1318256.7385564097</c:v>
                </c:pt>
                <c:pt idx="512">
                  <c:v>1348962.8825916562</c:v>
                </c:pt>
                <c:pt idx="513">
                  <c:v>1380384.2646028849</c:v>
                </c:pt>
                <c:pt idx="514">
                  <c:v>1412537.5446227565</c:v>
                </c:pt>
                <c:pt idx="515">
                  <c:v>1445439.7707459298</c:v>
                </c:pt>
                <c:pt idx="516">
                  <c:v>1479108.3881682095</c:v>
                </c:pt>
                <c:pt idx="517">
                  <c:v>1513561.2484362102</c:v>
                </c:pt>
                <c:pt idx="518">
                  <c:v>1548816.6189124861</c:v>
                </c:pt>
                <c:pt idx="519">
                  <c:v>1584893.1924611153</c:v>
                </c:pt>
                <c:pt idx="520">
                  <c:v>1621810.0973589318</c:v>
                </c:pt>
                <c:pt idx="521">
                  <c:v>1659586.9074375622</c:v>
                </c:pt>
                <c:pt idx="522">
                  <c:v>1698243.6524617488</c:v>
                </c:pt>
                <c:pt idx="523">
                  <c:v>1737800.8287493798</c:v>
                </c:pt>
                <c:pt idx="524">
                  <c:v>1778279.4100389241</c:v>
                </c:pt>
                <c:pt idx="525">
                  <c:v>1819700.8586099846</c:v>
                </c:pt>
                <c:pt idx="526">
                  <c:v>1862087.1366628683</c:v>
                </c:pt>
                <c:pt idx="527">
                  <c:v>1905460.7179632513</c:v>
                </c:pt>
                <c:pt idx="528">
                  <c:v>1949844.5997580495</c:v>
                </c:pt>
                <c:pt idx="529">
                  <c:v>1995262.31496888</c:v>
                </c:pt>
                <c:pt idx="530">
                  <c:v>2041737.9446695296</c:v>
                </c:pt>
                <c:pt idx="531">
                  <c:v>2089296.1308540432</c:v>
                </c:pt>
                <c:pt idx="532">
                  <c:v>2137962.0895022359</c:v>
                </c:pt>
                <c:pt idx="533">
                  <c:v>2187761.6239495561</c:v>
                </c:pt>
                <c:pt idx="534">
                  <c:v>2238721.1385683389</c:v>
                </c:pt>
                <c:pt idx="535">
                  <c:v>2290867.6527677765</c:v>
                </c:pt>
                <c:pt idx="536">
                  <c:v>2344228.8153199251</c:v>
                </c:pt>
                <c:pt idx="537">
                  <c:v>2398832.9190194933</c:v>
                </c:pt>
                <c:pt idx="538">
                  <c:v>2454708.915685033</c:v>
                </c:pt>
                <c:pt idx="539">
                  <c:v>2511886.431509587</c:v>
                </c:pt>
                <c:pt idx="540">
                  <c:v>2570395.782768866</c:v>
                </c:pt>
                <c:pt idx="541">
                  <c:v>2630267.9918953842</c:v>
                </c:pt>
              </c:numCache>
            </c:numRef>
          </c:xVal>
          <c:yVal>
            <c:numRef>
              <c:f>Loop_Modeling!$AQ$19:$AQ$560</c:f>
              <c:numCache>
                <c:formatCode>General</c:formatCode>
                <c:ptCount val="542"/>
                <c:pt idx="0">
                  <c:v>18.344459810724175</c:v>
                </c:pt>
                <c:pt idx="1">
                  <c:v>18.144850206971626</c:v>
                </c:pt>
                <c:pt idx="2">
                  <c:v>17.94525896440172</c:v>
                </c:pt>
                <c:pt idx="3">
                  <c:v>17.745686944727975</c:v>
                </c:pt>
                <c:pt idx="4">
                  <c:v>17.546135049927003</c:v>
                </c:pt>
                <c:pt idx="5">
                  <c:v>17.346604224102467</c:v>
                </c:pt>
                <c:pt idx="6">
                  <c:v>17.147095455433917</c:v>
                </c:pt>
                <c:pt idx="7">
                  <c:v>16.947609778213668</c:v>
                </c:pt>
                <c:pt idx="8">
                  <c:v>16.748148274976476</c:v>
                </c:pt>
                <c:pt idx="9">
                  <c:v>16.548712078724417</c:v>
                </c:pt>
                <c:pt idx="10">
                  <c:v>16.349302375252968</c:v>
                </c:pt>
                <c:pt idx="11">
                  <c:v>16.149920405581021</c:v>
                </c:pt>
                <c:pt idx="12">
                  <c:v>15.950567468490252</c:v>
                </c:pt>
                <c:pt idx="13">
                  <c:v>15.751244923177785</c:v>
                </c:pt>
                <c:pt idx="14">
                  <c:v>15.55195419202783</c:v>
                </c:pt>
                <c:pt idx="15">
                  <c:v>15.352696763505813</c:v>
                </c:pt>
                <c:pt idx="16">
                  <c:v>15.153474195181909</c:v>
                </c:pt>
                <c:pt idx="17">
                  <c:v>14.954288116887692</c:v>
                </c:pt>
                <c:pt idx="18">
                  <c:v>14.755140234012581</c:v>
                </c:pt>
                <c:pt idx="19">
                  <c:v>14.5560323309445</c:v>
                </c:pt>
                <c:pt idx="20">
                  <c:v>14.356966274662273</c:v>
                </c:pt>
                <c:pt idx="21">
                  <c:v>14.157944018483891</c:v>
                </c:pt>
                <c:pt idx="22">
                  <c:v>13.958967605978543</c:v>
                </c:pt>
                <c:pt idx="23">
                  <c:v>13.760039175047726</c:v>
                </c:pt>
                <c:pt idx="24">
                  <c:v>13.561160962182486</c:v>
                </c:pt>
                <c:pt idx="25">
                  <c:v>13.362335306903185</c:v>
                </c:pt>
                <c:pt idx="26">
                  <c:v>13.163564656389577</c:v>
                </c:pt>
                <c:pt idx="27">
                  <c:v>12.96485157030699</c:v>
                </c:pt>
                <c:pt idx="28">
                  <c:v>12.766198725837221</c:v>
                </c:pt>
                <c:pt idx="29">
                  <c:v>12.567608922920714</c:v>
                </c:pt>
                <c:pt idx="30">
                  <c:v>12.369085089717917</c:v>
                </c:pt>
                <c:pt idx="31">
                  <c:v>12.170630288297581</c:v>
                </c:pt>
                <c:pt idx="32">
                  <c:v>11.972247720559761</c:v>
                </c:pt>
                <c:pt idx="33">
                  <c:v>11.773940734401629</c:v>
                </c:pt>
                <c:pt idx="34">
                  <c:v>11.57571283013392</c:v>
                </c:pt>
                <c:pt idx="35">
                  <c:v>11.377567667156701</c:v>
                </c:pt>
                <c:pt idx="36">
                  <c:v>11.17950907090137</c:v>
                </c:pt>
                <c:pt idx="37">
                  <c:v>10.981541040049652</c:v>
                </c:pt>
                <c:pt idx="38">
                  <c:v>10.783667754034321</c:v>
                </c:pt>
                <c:pt idx="39">
                  <c:v>10.585893580833044</c:v>
                </c:pt>
                <c:pt idx="40">
                  <c:v>10.388223085061828</c:v>
                </c:pt>
                <c:pt idx="41">
                  <c:v>10.190661036376003</c:v>
                </c:pt>
                <c:pt idx="42">
                  <c:v>9.9932124181876265</c:v>
                </c:pt>
                <c:pt idx="43">
                  <c:v>9.795882436705547</c:v>
                </c:pt>
                <c:pt idx="44">
                  <c:v>9.598676530307058</c:v>
                </c:pt>
                <c:pt idx="45">
                  <c:v>9.4016003792466627</c:v>
                </c:pt>
                <c:pt idx="46">
                  <c:v>9.2046599157097564</c:v>
                </c:pt>
                <c:pt idx="47">
                  <c:v>9.007861334216603</c:v>
                </c:pt>
                <c:pt idx="48">
                  <c:v>8.8112111023825435</c:v>
                </c:pt>
                <c:pt idx="49">
                  <c:v>8.6147159720395354</c:v>
                </c:pt>
                <c:pt idx="50">
                  <c:v>8.4183829907223213</c:v>
                </c:pt>
                <c:pt idx="51">
                  <c:v>8.2222195135237399</c:v>
                </c:pt>
                <c:pt idx="52">
                  <c:v>8.0262332153205911</c:v>
                </c:pt>
                <c:pt idx="53">
                  <c:v>7.8304321033712032</c:v>
                </c:pt>
                <c:pt idx="54">
                  <c:v>7.6348245302853313</c:v>
                </c:pt>
                <c:pt idx="55">
                  <c:v>7.4394192073641143</c:v>
                </c:pt>
                <c:pt idx="56">
                  <c:v>7.2442252183070144</c:v>
                </c:pt>
                <c:pt idx="57">
                  <c:v>7.0492520332817747</c:v>
                </c:pt>
                <c:pt idx="58">
                  <c:v>6.8545095233491296</c:v>
                </c:pt>
                <c:pt idx="59">
                  <c:v>6.6600079752343646</c:v>
                </c:pt>
                <c:pt idx="60">
                  <c:v>6.4657581064343894</c:v>
                </c:pt>
                <c:pt idx="61">
                  <c:v>6.2717710806450908</c:v>
                </c:pt>
                <c:pt idx="62">
                  <c:v>6.0780585234942226</c:v>
                </c:pt>
                <c:pt idx="63">
                  <c:v>5.8846325385574687</c:v>
                </c:pt>
                <c:pt idx="64">
                  <c:v>5.6915057236371238</c:v>
                </c:pt>
                <c:pt idx="65">
                  <c:v>5.4986911872735575</c:v>
                </c:pt>
                <c:pt idx="66">
                  <c:v>5.3062025654610432</c:v>
                </c:pt>
                <c:pt idx="67">
                  <c:v>5.114054038531056</c:v>
                </c:pt>
                <c:pt idx="68">
                  <c:v>4.9222603481643192</c:v>
                </c:pt>
                <c:pt idx="69">
                  <c:v>4.730836814486187</c:v>
                </c:pt>
                <c:pt idx="70">
                  <c:v>4.5397993531961491</c:v>
                </c:pt>
                <c:pt idx="71">
                  <c:v>4.3491644926754311</c:v>
                </c:pt>
                <c:pt idx="72">
                  <c:v>4.1589493910113902</c:v>
                </c:pt>
                <c:pt idx="73">
                  <c:v>3.9691718528709261</c:v>
                </c:pt>
                <c:pt idx="74">
                  <c:v>3.7798503461494661</c:v>
                </c:pt>
                <c:pt idx="75">
                  <c:v>3.5910040183126348</c:v>
                </c:pt>
                <c:pt idx="76">
                  <c:v>3.4026527123436656</c:v>
                </c:pt>
                <c:pt idx="77">
                  <c:v>3.214816982200412</c:v>
                </c:pt>
                <c:pt idx="78">
                  <c:v>3.0275181076771114</c:v>
                </c:pt>
                <c:pt idx="79">
                  <c:v>2.8407781085600243</c:v>
                </c:pt>
                <c:pt idx="80">
                  <c:v>2.6546197579574704</c:v>
                </c:pt>
                <c:pt idx="81">
                  <c:v>2.4690665946743788</c:v>
                </c:pt>
                <c:pt idx="82">
                  <c:v>2.2841429344956756</c:v>
                </c:pt>
                <c:pt idx="83">
                  <c:v>2.099873880233464</c:v>
                </c:pt>
                <c:pt idx="84">
                  <c:v>1.9162853303832541</c:v>
                </c:pt>
                <c:pt idx="85">
                  <c:v>1.7334039862286019</c:v>
                </c:pt>
                <c:pt idx="86">
                  <c:v>1.5512573572240698</c:v>
                </c:pt>
                <c:pt idx="87">
                  <c:v>1.3698737644785912</c:v>
                </c:pt>
                <c:pt idx="88">
                  <c:v>1.1892823421560526</c:v>
                </c:pt>
                <c:pt idx="89">
                  <c:v>1.0095130366008134</c:v>
                </c:pt>
                <c:pt idx="90">
                  <c:v>0.83059660299380056</c:v>
                </c:pt>
                <c:pt idx="91">
                  <c:v>0.65256459933609134</c:v>
                </c:pt>
                <c:pt idx="92">
                  <c:v>0.47544937755760708</c:v>
                </c:pt>
                <c:pt idx="93">
                  <c:v>0.29928407154339443</c:v>
                </c:pt>
                <c:pt idx="94">
                  <c:v>0.12410258187056782</c:v>
                </c:pt>
                <c:pt idx="95">
                  <c:v>-5.0060442949204122E-2</c:v>
                </c:pt>
                <c:pt idx="96">
                  <c:v>-0.22316962892445091</c:v>
                </c:pt>
                <c:pt idx="97">
                  <c:v>-0.39518890293310927</c:v>
                </c:pt>
                <c:pt idx="98">
                  <c:v>-0.56608152315524529</c:v>
                </c:pt>
                <c:pt idx="99">
                  <c:v>-0.73581011376803829</c:v>
                </c:pt>
                <c:pt idx="100">
                  <c:v>-0.90433670406917566</c:v>
                </c:pt>
                <c:pt idx="101">
                  <c:v>-1.0716227721773273</c:v>
                </c:pt>
                <c:pt idx="102">
                  <c:v>-1.2376292934405306</c:v>
                </c:pt>
                <c:pt idx="103">
                  <c:v>-1.4023167936596892</c:v>
                </c:pt>
                <c:pt idx="104">
                  <c:v>-1.565645407208399</c:v>
                </c:pt>
                <c:pt idx="105">
                  <c:v>-1.7275749401019771</c:v>
                </c:pt>
                <c:pt idx="106">
                  <c:v>-1.8880649380342978</c:v>
                </c:pt>
                <c:pt idx="107">
                  <c:v>-2.0470747593658607</c:v>
                </c:pt>
                <c:pt idx="108">
                  <c:v>-2.2045636530066428</c:v>
                </c:pt>
                <c:pt idx="109">
                  <c:v>-2.3604908410951038</c:v>
                </c:pt>
                <c:pt idx="110">
                  <c:v>-2.5148156063282476</c:v>
                </c:pt>
                <c:pt idx="111">
                  <c:v>-2.6674973837518272</c:v>
                </c:pt>
                <c:pt idx="112">
                  <c:v>-2.8184958567667429</c:v>
                </c:pt>
                <c:pt idx="113">
                  <c:v>-2.9677710570597005</c:v>
                </c:pt>
                <c:pt idx="114">
                  <c:v>-3.1152834681098431</c:v>
                </c:pt>
                <c:pt idx="115">
                  <c:v>-3.2609941318730233</c:v>
                </c:pt>
                <c:pt idx="116">
                  <c:v>-3.4048647581909632</c:v>
                </c:pt>
                <c:pt idx="117">
                  <c:v>-3.5468578364209242</c:v>
                </c:pt>
                <c:pt idx="118">
                  <c:v>-3.6869367487333164</c:v>
                </c:pt>
                <c:pt idx="119">
                  <c:v>-3.8250658844752956</c:v>
                </c:pt>
                <c:pt idx="120">
                  <c:v>-3.9612107549581523</c:v>
                </c:pt>
                <c:pt idx="121">
                  <c:v>-4.0953381079846114</c:v>
                </c:pt>
                <c:pt idx="122">
                  <c:v>-4.2274160414024182</c:v>
                </c:pt>
                <c:pt idx="123">
                  <c:v>-4.3574141149409931</c:v>
                </c:pt>
                <c:pt idx="124">
                  <c:v>-4.4853034595702246</c:v>
                </c:pt>
                <c:pt idx="125">
                  <c:v>-4.6110568836086996</c:v>
                </c:pt>
                <c:pt idx="126">
                  <c:v>-4.7346489748046645</c:v>
                </c:pt>
                <c:pt idx="127">
                  <c:v>-4.8560561976204593</c:v>
                </c:pt>
                <c:pt idx="128">
                  <c:v>-4.9752569849653776</c:v>
                </c:pt>
                <c:pt idx="129">
                  <c:v>-5.0922318236469879</c:v>
                </c:pt>
                <c:pt idx="130">
                  <c:v>-5.2069633328460041</c:v>
                </c:pt>
                <c:pt idx="131">
                  <c:v>-5.3194363349635765</c:v>
                </c:pt>
                <c:pt idx="132">
                  <c:v>-5.4296379182424506</c:v>
                </c:pt>
                <c:pt idx="133">
                  <c:v>-5.5375574906248604</c:v>
                </c:pt>
                <c:pt idx="134">
                  <c:v>-5.6431868243810364</c:v>
                </c:pt>
                <c:pt idx="135">
                  <c:v>-5.7465200911156877</c:v>
                </c:pt>
                <c:pt idx="136">
                  <c:v>-5.84755388684483</c:v>
                </c:pt>
                <c:pt idx="137">
                  <c:v>-5.9462872469196242</c:v>
                </c:pt>
                <c:pt idx="138">
                  <c:v>-6.0427216506664934</c:v>
                </c:pt>
                <c:pt idx="139">
                  <c:v>-6.1368610157029613</c:v>
                </c:pt>
                <c:pt idx="140">
                  <c:v>-6.228711681982583</c:v>
                </c:pt>
                <c:pt idx="141">
                  <c:v>-6.3182823857149781</c:v>
                </c:pt>
                <c:pt idx="142">
                  <c:v>-6.4055842233947322</c:v>
                </c:pt>
                <c:pt idx="143">
                  <c:v>-6.4906306062623385</c:v>
                </c:pt>
                <c:pt idx="144">
                  <c:v>-6.5734372055981005</c:v>
                </c:pt>
                <c:pt idx="145">
                  <c:v>-6.6540218893287983</c:v>
                </c:pt>
                <c:pt idx="146">
                  <c:v>-6.7324046504923771</c:v>
                </c:pt>
                <c:pt idx="147">
                  <c:v>-6.8086075281683121</c:v>
                </c:pt>
                <c:pt idx="148">
                  <c:v>-6.8826545215325314</c:v>
                </c:pt>
                <c:pt idx="149">
                  <c:v>-6.9545714977372475</c:v>
                </c:pt>
                <c:pt idx="150">
                  <c:v>-7.0243860943520708</c:v>
                </c:pt>
                <c:pt idx="151">
                  <c:v>-7.0921276171224212</c:v>
                </c:pt>
                <c:pt idx="152">
                  <c:v>-7.1578269338200053</c:v>
                </c:pt>
                <c:pt idx="153">
                  <c:v>-7.2215163649601211</c:v>
                </c:pt>
                <c:pt idx="154">
                  <c:v>-7.2832295721607299</c:v>
                </c:pt>
                <c:pt idx="155">
                  <c:v>-7.3430014449012058</c:v>
                </c:pt>
                <c:pt idx="156">
                  <c:v>-7.4008679864233917</c:v>
                </c:pt>
                <c:pt idx="157">
                  <c:v>-7.4568661994834597</c:v>
                </c:pt>
                <c:pt idx="158">
                  <c:v>-7.5110339726365023</c:v>
                </c:pt>
                <c:pt idx="159">
                  <c:v>-7.5634099676904709</c:v>
                </c:pt>
                <c:pt idx="160">
                  <c:v>-7.6140335089259317</c:v>
                </c:pt>
                <c:pt idx="161">
                  <c:v>-7.6629444746301569</c:v>
                </c:pt>
                <c:pt idx="162">
                  <c:v>-7.7101831914423302</c:v>
                </c:pt>
                <c:pt idx="163">
                  <c:v>-7.7557903319577601</c:v>
                </c:pt>
                <c:pt idx="164">
                  <c:v>-7.7998068159838123</c:v>
                </c:pt>
                <c:pt idx="165">
                  <c:v>-7.8422737157885152</c:v>
                </c:pt>
                <c:pt idx="166">
                  <c:v>-7.8832321656295097</c:v>
                </c:pt>
                <c:pt idx="167">
                  <c:v>-7.922723275800605</c:v>
                </c:pt>
                <c:pt idx="168">
                  <c:v>-7.9607880513825888</c:v>
                </c:pt>
                <c:pt idx="169">
                  <c:v>-7.9974673158378975</c:v>
                </c:pt>
                <c:pt idx="170">
                  <c:v>-8.0328016395432869</c:v>
                </c:pt>
                <c:pt idx="171">
                  <c:v>-8.066831273313845</c:v>
                </c:pt>
                <c:pt idx="172">
                  <c:v>-8.0995960869311752</c:v>
                </c:pt>
                <c:pt idx="173">
                  <c:v>-8.131135512653243</c:v>
                </c:pt>
                <c:pt idx="174">
                  <c:v>-8.161488493652433</c:v>
                </c:pt>
                <c:pt idx="175">
                  <c:v>-8.1906934372976252</c:v>
                </c:pt>
                <c:pt idx="176">
                  <c:v>-8.2187881731720509</c:v>
                </c:pt>
                <c:pt idx="177">
                  <c:v>-8.2458099156956237</c:v>
                </c:pt>
                <c:pt idx="178">
                  <c:v>-8.2717952312030967</c:v>
                </c:pt>
                <c:pt idx="179">
                  <c:v>-8.2967800093113713</c:v>
                </c:pt>
                <c:pt idx="180">
                  <c:v>-8.3207994383993622</c:v>
                </c:pt>
                <c:pt idx="181">
                  <c:v>-8.3438879850112215</c:v>
                </c:pt>
                <c:pt idx="182">
                  <c:v>-8.3660793769887771</c:v>
                </c:pt>
                <c:pt idx="183">
                  <c:v>-8.387406590131679</c:v>
                </c:pt>
                <c:pt idx="184">
                  <c:v>-8.4079018381832391</c:v>
                </c:pt>
                <c:pt idx="185">
                  <c:v>-8.4275965659372591</c:v>
                </c:pt>
                <c:pt idx="186">
                  <c:v>-8.446521445262853</c:v>
                </c:pt>
                <c:pt idx="187">
                  <c:v>-8.4647063738469566</c:v>
                </c:pt>
                <c:pt idx="188">
                  <c:v>-8.4821804764568114</c:v>
                </c:pt>
                <c:pt idx="189">
                  <c:v>-8.4989721085310279</c:v>
                </c:pt>
                <c:pt idx="190">
                  <c:v>-8.5151088619121857</c:v>
                </c:pt>
                <c:pt idx="191">
                  <c:v>-8.5306175725420204</c:v>
                </c:pt>
                <c:pt idx="192">
                  <c:v>-8.5455243299463</c:v>
                </c:pt>
                <c:pt idx="193">
                  <c:v>-8.5598544883448096</c:v>
                </c:pt>
                <c:pt idx="194">
                  <c:v>-8.5736326792301085</c:v>
                </c:pt>
                <c:pt idx="195">
                  <c:v>-8.5868828252668337</c:v>
                </c:pt>
                <c:pt idx="196">
                  <c:v>-8.5996281553719882</c:v>
                </c:pt>
                <c:pt idx="197">
                  <c:v>-8.6118912208453651</c:v>
                </c:pt>
                <c:pt idx="198">
                  <c:v>-8.6236939124274805</c:v>
                </c:pt>
                <c:pt idx="199">
                  <c:v>-8.6350574781715093</c:v>
                </c:pt>
                <c:pt idx="200">
                  <c:v>-8.6460025420234849</c:v>
                </c:pt>
                <c:pt idx="201">
                  <c:v>-8.6565491230134786</c:v>
                </c:pt>
                <c:pt idx="202">
                  <c:v>-8.6667166549685106</c:v>
                </c:pt>
                <c:pt idx="203">
                  <c:v>-8.6765240066652876</c:v>
                </c:pt>
                <c:pt idx="204">
                  <c:v>-8.6859895023484555</c:v>
                </c:pt>
                <c:pt idx="205">
                  <c:v>-8.6951309425472889</c:v>
                </c:pt>
                <c:pt idx="206">
                  <c:v>-8.703965625130003</c:v>
                </c:pt>
                <c:pt idx="207">
                  <c:v>-8.7125103665416113</c:v>
                </c:pt>
                <c:pt idx="208">
                  <c:v>-8.7207815231774095</c:v>
                </c:pt>
                <c:pt idx="209">
                  <c:v>-8.7287950128495808</c:v>
                </c:pt>
                <c:pt idx="210">
                  <c:v>-8.7365663363097354</c:v>
                </c:pt>
                <c:pt idx="211">
                  <c:v>-8.7441105987959951</c:v>
                </c:pt>
                <c:pt idx="212">
                  <c:v>-8.7514425315765845</c:v>
                </c:pt>
                <c:pt idx="213">
                  <c:v>-8.7585765134677942</c:v>
                </c:pt>
                <c:pt idx="214">
                  <c:v>-8.7655265923070438</c:v>
                </c:pt>
                <c:pt idx="215">
                  <c:v>-8.7723065063661743</c:v>
                </c:pt>
                <c:pt idx="216">
                  <c:v>-8.7789297056931606</c:v>
                </c:pt>
                <c:pt idx="217">
                  <c:v>-8.7854093733744634</c:v>
                </c:pt>
                <c:pt idx="218">
                  <c:v>-8.7917584467114764</c:v>
                </c:pt>
                <c:pt idx="219">
                  <c:v>-8.7979896383093994</c:v>
                </c:pt>
                <c:pt idx="220">
                  <c:v>-8.8041154570771809</c:v>
                </c:pt>
                <c:pt idx="221">
                  <c:v>-8.8101482291404594</c:v>
                </c:pt>
                <c:pt idx="222">
                  <c:v>-8.8161001186716899</c:v>
                </c:pt>
                <c:pt idx="223">
                  <c:v>-8.8219831486416194</c:v>
                </c:pt>
                <c:pt idx="224">
                  <c:v>-8.8278092215001536</c:v>
                </c:pt>
                <c:pt idx="225">
                  <c:v>-8.8335901397939729</c:v>
                </c:pt>
                <c:pt idx="226">
                  <c:v>-8.839337626729753</c:v>
                </c:pt>
                <c:pt idx="227">
                  <c:v>-8.8450633466942747</c:v>
                </c:pt>
                <c:pt idx="228">
                  <c:v>-8.8507789257410465</c:v>
                </c:pt>
                <c:pt idx="229">
                  <c:v>-8.8564959720546366</c:v>
                </c:pt>
                <c:pt idx="230">
                  <c:v>-8.8622260964055997</c:v>
                </c:pt>
                <c:pt idx="231">
                  <c:v>-8.8679809326059296</c:v>
                </c:pt>
                <c:pt idx="232">
                  <c:v>-8.8737721579788662</c:v>
                </c:pt>
                <c:pt idx="233">
                  <c:v>-8.8796115138521117</c:v>
                </c:pt>
                <c:pt idx="234">
                  <c:v>-8.8855108260882183</c:v>
                </c:pt>
                <c:pt idx="235">
                  <c:v>-8.8914820256606006</c:v>
                </c:pt>
                <c:pt idx="236">
                  <c:v>-8.8975371692864016</c:v>
                </c:pt>
                <c:pt idx="237">
                  <c:v>-8.9036884601242292</c:v>
                </c:pt>
                <c:pt idx="238">
                  <c:v>-8.9099482685452482</c:v>
                </c:pt>
                <c:pt idx="239">
                  <c:v>-8.9163291529836801</c:v>
                </c:pt>
                <c:pt idx="240">
                  <c:v>-8.9228438808713229</c:v>
                </c:pt>
                <c:pt idx="241">
                  <c:v>-8.9295054496603292</c:v>
                </c:pt>
                <c:pt idx="242">
                  <c:v>-8.9363271079336499</c:v>
                </c:pt>
                <c:pt idx="243">
                  <c:v>-8.9433223766043408</c:v>
                </c:pt>
                <c:pt idx="244">
                  <c:v>-8.9505050701980444</c:v>
                </c:pt>
                <c:pt idx="245">
                  <c:v>-8.95788931821407</c:v>
                </c:pt>
                <c:pt idx="246">
                  <c:v>-8.9654895865548685</c:v>
                </c:pt>
                <c:pt idx="247">
                  <c:v>-8.9733206990119569</c:v>
                </c:pt>
                <c:pt idx="248">
                  <c:v>-8.9813978587922261</c:v>
                </c:pt>
                <c:pt idx="249">
                  <c:v>-8.9897366700651418</c:v>
                </c:pt>
                <c:pt idx="250">
                  <c:v>-8.9983531595060953</c:v>
                </c:pt>
                <c:pt idx="251">
                  <c:v>-9.0072637978078358</c:v>
                </c:pt>
                <c:pt idx="252">
                  <c:v>-9.0164855211276507</c:v>
                </c:pt>
                <c:pt idx="253">
                  <c:v>-9.0260357524303227</c:v>
                </c:pt>
                <c:pt idx="254">
                  <c:v>-9.0359324226847946</c:v>
                </c:pt>
                <c:pt idx="255">
                  <c:v>-9.0461939918634542</c:v>
                </c:pt>
                <c:pt idx="256">
                  <c:v>-9.056839469689443</c:v>
                </c:pt>
                <c:pt idx="257">
                  <c:v>-9.0678884360691576</c:v>
                </c:pt>
                <c:pt idx="258">
                  <c:v>-9.0793610611410163</c:v>
                </c:pt>
                <c:pt idx="259">
                  <c:v>-9.0912781248645018</c:v>
                </c:pt>
                <c:pt idx="260">
                  <c:v>-9.1036610360654873</c:v>
                </c:pt>
                <c:pt idx="261">
                  <c:v>-9.1165318508472577</c:v>
                </c:pt>
                <c:pt idx="262">
                  <c:v>-9.1299132902663906</c:v>
                </c:pt>
                <c:pt idx="263">
                  <c:v>-9.1438287571676398</c:v>
                </c:pt>
                <c:pt idx="264">
                  <c:v>-9.1583023520605593</c:v>
                </c:pt>
                <c:pt idx="265">
                  <c:v>-9.1733588879139916</c:v>
                </c:pt>
                <c:pt idx="266">
                  <c:v>-9.1890239037348422</c:v>
                </c:pt>
                <c:pt idx="267">
                  <c:v>-9.2053236767899076</c:v>
                </c:pt>
                <c:pt idx="268">
                  <c:v>-9.2222852333200649</c:v>
                </c:pt>
                <c:pt idx="269">
                  <c:v>-9.2399363575886486</c:v>
                </c:pt>
                <c:pt idx="270">
                  <c:v>-9.2583055990964951</c:v>
                </c:pt>
                <c:pt idx="271">
                  <c:v>-9.277422277790782</c:v>
                </c:pt>
                <c:pt idx="272">
                  <c:v>-9.2973164870850109</c:v>
                </c:pt>
                <c:pt idx="273">
                  <c:v>-9.3180190945027483</c:v>
                </c:pt>
                <c:pt idx="274">
                  <c:v>-9.3395617397513977</c:v>
                </c:pt>
                <c:pt idx="275">
                  <c:v>-9.3619768300289117</c:v>
                </c:pt>
                <c:pt idx="276">
                  <c:v>-9.3852975323601981</c:v>
                </c:pt>
                <c:pt idx="277">
                  <c:v>-9.4095577627615103</c:v>
                </c:pt>
                <c:pt idx="278">
                  <c:v>-9.4347921720278922</c:v>
                </c:pt>
                <c:pt idx="279">
                  <c:v>-9.4610361279412594</c:v>
                </c:pt>
                <c:pt idx="280">
                  <c:v>-9.4883256936998386</c:v>
                </c:pt>
                <c:pt idx="281">
                  <c:v>-9.5166976023755847</c:v>
                </c:pt>
                <c:pt idx="282">
                  <c:v>-9.5461892272136115</c:v>
                </c:pt>
                <c:pt idx="283">
                  <c:v>-9.5768385475982338</c:v>
                </c:pt>
                <c:pt idx="284">
                  <c:v>-9.6086841105250613</c:v>
                </c:pt>
                <c:pt idx="285">
                  <c:v>-9.6417649874325928</c:v>
                </c:pt>
                <c:pt idx="286">
                  <c:v>-9.6761207262690316</c:v>
                </c:pt>
                <c:pt idx="287">
                  <c:v>-9.7117912986908674</c:v>
                </c:pt>
                <c:pt idx="288">
                  <c:v>-9.748817042317329</c:v>
                </c:pt>
                <c:pt idx="289">
                  <c:v>-9.7872385979937526</c:v>
                </c:pt>
                <c:pt idx="290">
                  <c:v>-9.8270968420507714</c:v>
                </c:pt>
                <c:pt idx="291">
                  <c:v>-9.8684328135821726</c:v>
                </c:pt>
                <c:pt idx="292">
                  <c:v>-9.9112876368039622</c:v>
                </c:pt>
                <c:pt idx="293">
                  <c:v>-9.9557024386006141</c:v>
                </c:pt>
                <c:pt idx="294">
                  <c:v>-10.001718261409891</c:v>
                </c:pt>
                <c:pt idx="295">
                  <c:v>-10.049375971645176</c:v>
                </c:pt>
                <c:pt idx="296">
                  <c:v>-10.098716163905312</c:v>
                </c:pt>
                <c:pt idx="297">
                  <c:v>-10.14977906127273</c:v>
                </c:pt>
                <c:pt idx="298">
                  <c:v>-10.202604412054523</c:v>
                </c:pt>
                <c:pt idx="299">
                  <c:v>-10.257231383372803</c:v>
                </c:pt>
                <c:pt idx="300">
                  <c:v>-10.313698452064191</c:v>
                </c:pt>
                <c:pt idx="301">
                  <c:v>-10.372043293399711</c:v>
                </c:pt>
                <c:pt idx="302">
                  <c:v>-10.432302668184883</c:v>
                </c:pt>
                <c:pt idx="303">
                  <c:v>-10.49451230884741</c:v>
                </c:pt>
                <c:pt idx="304">
                  <c:v>-10.558706805161833</c:v>
                </c:pt>
                <c:pt idx="305">
                  <c:v>-10.624919490298288</c:v>
                </c:pt>
                <c:pt idx="306">
                  <c:v>-10.6931823279157</c:v>
                </c:pt>
                <c:pt idx="307">
                  <c:v>-10.763525801044192</c:v>
                </c:pt>
                <c:pt idx="308">
                  <c:v>-10.835978803521613</c:v>
                </c:pt>
                <c:pt idx="309">
                  <c:v>-10.910568534758539</c:v>
                </c:pt>
                <c:pt idx="310">
                  <c:v>-10.987320398608432</c:v>
                </c:pt>
                <c:pt idx="311">
                  <c:v>-11.066257907112618</c:v>
                </c:pt>
                <c:pt idx="312">
                  <c:v>-11.147402589873678</c:v>
                </c:pt>
                <c:pt idx="313">
                  <c:v>-11.230773909783744</c:v>
                </c:pt>
                <c:pt idx="314">
                  <c:v>-11.316389185799709</c:v>
                </c:pt>
                <c:pt idx="315">
                  <c:v>-11.40426352341149</c:v>
                </c:pt>
                <c:pt idx="316">
                  <c:v>-11.494409753396146</c:v>
                </c:pt>
                <c:pt idx="317">
                  <c:v>-11.586838379387462</c:v>
                </c:pt>
                <c:pt idx="318">
                  <c:v>-11.681557534720996</c:v>
                </c:pt>
                <c:pt idx="319">
                  <c:v>-11.778572948936963</c:v>
                </c:pt>
                <c:pt idx="320">
                  <c:v>-11.877887924241666</c:v>
                </c:pt>
                <c:pt idx="321">
                  <c:v>-11.979503322139212</c:v>
                </c:pt>
                <c:pt idx="322">
                  <c:v>-12.083417560356564</c:v>
                </c:pt>
                <c:pt idx="323">
                  <c:v>-12.189626620091067</c:v>
                </c:pt>
                <c:pt idx="324">
                  <c:v>-12.29812406351761</c:v>
                </c:pt>
                <c:pt idx="325">
                  <c:v>-12.408901061400822</c:v>
                </c:pt>
                <c:pt idx="326">
                  <c:v>-12.521946430566564</c:v>
                </c:pt>
                <c:pt idx="327">
                  <c:v>-12.637246680904255</c:v>
                </c:pt>
                <c:pt idx="328">
                  <c:v>-12.754786071488001</c:v>
                </c:pt>
                <c:pt idx="329">
                  <c:v>-12.87454667533018</c:v>
                </c:pt>
                <c:pt idx="330">
                  <c:v>-12.996508452216789</c:v>
                </c:pt>
                <c:pt idx="331">
                  <c:v>-13.120649329009293</c:v>
                </c:pt>
                <c:pt idx="332">
                  <c:v>-13.2469452867516</c:v>
                </c:pt>
                <c:pt idx="333">
                  <c:v>-13.375370453876689</c:v>
                </c:pt>
                <c:pt idx="334">
                  <c:v>-13.505897204775639</c:v>
                </c:pt>
                <c:pt idx="335">
                  <c:v>-13.638496262970429</c:v>
                </c:pt>
                <c:pt idx="336">
                  <c:v>-13.773136808117135</c:v>
                </c:pt>
                <c:pt idx="337">
                  <c:v>-13.909786586063808</c:v>
                </c:pt>
                <c:pt idx="338">
                  <c:v>-14.048412021192879</c:v>
                </c:pt>
                <c:pt idx="339">
                  <c:v>-14.188978330289858</c:v>
                </c:pt>
                <c:pt idx="340">
                  <c:v>-14.331449637202784</c:v>
                </c:pt>
                <c:pt idx="341">
                  <c:v>-14.475789087585733</c:v>
                </c:pt>
                <c:pt idx="342">
                  <c:v>-14.621958963051537</c:v>
                </c:pt>
                <c:pt idx="343">
                  <c:v>-14.769920794103022</c:v>
                </c:pt>
                <c:pt idx="344">
                  <c:v>-14.919635471251443</c:v>
                </c:pt>
                <c:pt idx="345">
                  <c:v>-15.071063353782471</c:v>
                </c:pt>
                <c:pt idx="346">
                  <c:v>-15.224164375677216</c:v>
                </c:pt>
                <c:pt idx="347">
                  <c:v>-15.378898148250764</c:v>
                </c:pt>
                <c:pt idx="348">
                  <c:v>-15.53522405912098</c:v>
                </c:pt>
                <c:pt idx="349">
                  <c:v>-15.693101367174551</c:v>
                </c:pt>
                <c:pt idx="350">
                  <c:v>-15.852489293250914</c:v>
                </c:pt>
                <c:pt idx="351">
                  <c:v>-16.013347106311382</c:v>
                </c:pt>
                <c:pt idx="352">
                  <c:v>-16.175634204918428</c:v>
                </c:pt>
                <c:pt idx="353">
                  <c:v>-16.339310193887734</c:v>
                </c:pt>
                <c:pt idx="354">
                  <c:v>-16.504334956028426</c:v>
                </c:pt>
                <c:pt idx="355">
                  <c:v>-16.670668718924006</c:v>
                </c:pt>
                <c:pt idx="356">
                  <c:v>-16.838272116746261</c:v>
                </c:pt>
                <c:pt idx="357">
                  <c:v>-17.007106247131734</c:v>
                </c:pt>
                <c:pt idx="358">
                  <c:v>-17.177132723178275</c:v>
                </c:pt>
                <c:pt idx="359">
                  <c:v>-17.348313720652257</c:v>
                </c:pt>
                <c:pt idx="360">
                  <c:v>-17.520612020518481</c:v>
                </c:pt>
                <c:pt idx="361">
                  <c:v>-17.693991046929302</c:v>
                </c:pt>
                <c:pt idx="362">
                  <c:v>-17.868414900825439</c:v>
                </c:pt>
                <c:pt idx="363">
                  <c:v>-18.043848389319251</c:v>
                </c:pt>
                <c:pt idx="364">
                  <c:v>-18.220257051040065</c:v>
                </c:pt>
                <c:pt idx="365">
                  <c:v>-18.397607177636502</c:v>
                </c:pt>
                <c:pt idx="366">
                  <c:v>-18.575865831630026</c:v>
                </c:pt>
                <c:pt idx="367">
                  <c:v>-18.755000860827742</c:v>
                </c:pt>
                <c:pt idx="368">
                  <c:v>-18.934980909496232</c:v>
                </c:pt>
                <c:pt idx="369">
                  <c:v>-19.115775426507355</c:v>
                </c:pt>
                <c:pt idx="370">
                  <c:v>-19.297354670659054</c:v>
                </c:pt>
                <c:pt idx="371">
                  <c:v>-19.479689713376835</c:v>
                </c:pt>
                <c:pt idx="372">
                  <c:v>-19.662752438993678</c:v>
                </c:pt>
                <c:pt idx="373">
                  <c:v>-19.846515542806017</c:v>
                </c:pt>
                <c:pt idx="374">
                  <c:v>-20.030952527092193</c:v>
                </c:pt>
                <c:pt idx="375">
                  <c:v>-20.216037695278221</c:v>
                </c:pt>
                <c:pt idx="376">
                  <c:v>-20.401746144424799</c:v>
                </c:pt>
                <c:pt idx="377">
                  <c:v>-20.588053756204477</c:v>
                </c:pt>
                <c:pt idx="378">
                  <c:v>-20.774937186527925</c:v>
                </c:pt>
                <c:pt idx="379">
                  <c:v>-20.962373853970888</c:v>
                </c:pt>
                <c:pt idx="380">
                  <c:v>-21.15034192714586</c:v>
                </c:pt>
                <c:pt idx="381">
                  <c:v>-21.338820311151299</c:v>
                </c:pt>
                <c:pt idx="382">
                  <c:v>-21.527788633226322</c:v>
                </c:pt>
                <c:pt idx="383">
                  <c:v>-21.71722722772834</c:v>
                </c:pt>
                <c:pt idx="384">
                  <c:v>-21.907117120542807</c:v>
                </c:pt>
                <c:pt idx="385">
                  <c:v>-22.097440013026841</c:v>
                </c:pt>
                <c:pt idx="386">
                  <c:v>-22.28817826558209</c:v>
                </c:pt>
                <c:pt idx="387">
                  <c:v>-22.479314880941679</c:v>
                </c:pt>
                <c:pt idx="388">
                  <c:v>-22.670833487251652</c:v>
                </c:pt>
                <c:pt idx="389">
                  <c:v>-22.862718321019585</c:v>
                </c:pt>
                <c:pt idx="390">
                  <c:v>-23.054954209995753</c:v>
                </c:pt>
                <c:pt idx="391">
                  <c:v>-23.247526556047259</c:v>
                </c:pt>
                <c:pt idx="392">
                  <c:v>-23.440421318079409</c:v>
                </c:pt>
                <c:pt idx="393">
                  <c:v>-23.633624995051861</c:v>
                </c:pt>
                <c:pt idx="394">
                  <c:v>-23.827124609134394</c:v>
                </c:pt>
                <c:pt idx="395">
                  <c:v>-24.020907689039429</c:v>
                </c:pt>
                <c:pt idx="396">
                  <c:v>-24.214962253566746</c:v>
                </c:pt>
                <c:pt idx="397">
                  <c:v>-24.409276795388873</c:v>
                </c:pt>
                <c:pt idx="398">
                  <c:v>-24.603840265104328</c:v>
                </c:pt>
                <c:pt idx="399">
                  <c:v>-24.798642055580448</c:v>
                </c:pt>
                <c:pt idx="400">
                  <c:v>-24.993671986605573</c:v>
                </c:pt>
                <c:pt idx="401">
                  <c:v>-25.188920289865319</c:v>
                </c:pt>
                <c:pt idx="402">
                  <c:v>-25.384377594258112</c:v>
                </c:pt>
                <c:pt idx="403">
                  <c:v>-25.580034911559043</c:v>
                </c:pt>
                <c:pt idx="404">
                  <c:v>-25.775883622441409</c:v>
                </c:pt>
                <c:pt idx="405">
                  <c:v>-25.97191546286205</c:v>
                </c:pt>
                <c:pt idx="406">
                  <c:v>-26.168122510814857</c:v>
                </c:pt>
                <c:pt idx="407">
                  <c:v>-26.364497173454712</c:v>
                </c:pt>
                <c:pt idx="408">
                  <c:v>-26.561032174594171</c:v>
                </c:pt>
                <c:pt idx="409">
                  <c:v>-26.757720542571267</c:v>
                </c:pt>
                <c:pt idx="410">
                  <c:v>-26.954555598487964</c:v>
                </c:pt>
                <c:pt idx="411">
                  <c:v>-27.15153094481639</c:v>
                </c:pt>
                <c:pt idx="412">
                  <c:v>-27.348640454369153</c:v>
                </c:pt>
                <c:pt idx="413">
                  <c:v>-27.545878259629653</c:v>
                </c:pt>
                <c:pt idx="414">
                  <c:v>-27.743238742437409</c:v>
                </c:pt>
                <c:pt idx="415">
                  <c:v>-27.940716524021653</c:v>
                </c:pt>
                <c:pt idx="416">
                  <c:v>-28.138306455379215</c:v>
                </c:pt>
                <c:pt idx="417">
                  <c:v>-28.33600360798695</c:v>
                </c:pt>
                <c:pt idx="418">
                  <c:v>-28.53380326484384</c:v>
                </c:pt>
                <c:pt idx="419">
                  <c:v>-28.731700911834665</c:v>
                </c:pt>
                <c:pt idx="420">
                  <c:v>-28.929692229407276</c:v>
                </c:pt>
                <c:pt idx="421">
                  <c:v>-29.127773084555699</c:v>
                </c:pt>
                <c:pt idx="422">
                  <c:v>-29.325939523101496</c:v>
                </c:pt>
                <c:pt idx="423">
                  <c:v>-29.524187762264425</c:v>
                </c:pt>
                <c:pt idx="424">
                  <c:v>-29.722514183514846</c:v>
                </c:pt>
                <c:pt idx="425">
                  <c:v>-29.920915325699738</c:v>
                </c:pt>
                <c:pt idx="426">
                  <c:v>-30.119387878432757</c:v>
                </c:pt>
                <c:pt idx="427">
                  <c:v>-30.317928675742472</c:v>
                </c:pt>
                <c:pt idx="428">
                  <c:v>-30.516534689968644</c:v>
                </c:pt>
                <c:pt idx="429">
                  <c:v>-30.715203025899086</c:v>
                </c:pt>
                <c:pt idx="430">
                  <c:v>-30.913930915139602</c:v>
                </c:pt>
                <c:pt idx="431">
                  <c:v>-31.112715710708741</c:v>
                </c:pt>
                <c:pt idx="432">
                  <c:v>-31.311554881849901</c:v>
                </c:pt>
                <c:pt idx="433">
                  <c:v>-31.510446009052675</c:v>
                </c:pt>
                <c:pt idx="434">
                  <c:v>-31.709386779277004</c:v>
                </c:pt>
                <c:pt idx="435">
                  <c:v>-31.908374981372226</c:v>
                </c:pt>
                <c:pt idx="436">
                  <c:v>-32.107408501683359</c:v>
                </c:pt>
                <c:pt idx="437">
                  <c:v>-32.306485319839723</c:v>
                </c:pt>
                <c:pt idx="438">
                  <c:v>-32.505603504716916</c:v>
                </c:pt>
                <c:pt idx="439">
                  <c:v>-32.704761210566751</c:v>
                </c:pt>
                <c:pt idx="440">
                  <c:v>-32.903956673309025</c:v>
                </c:pt>
                <c:pt idx="441">
                  <c:v>-33.103188206978324</c:v>
                </c:pt>
                <c:pt idx="442">
                  <c:v>-33.302454200319794</c:v>
                </c:pt>
                <c:pt idx="443">
                  <c:v>-33.501753113529027</c:v>
                </c:pt>
                <c:pt idx="444">
                  <c:v>-33.701083475129366</c:v>
                </c:pt>
                <c:pt idx="445">
                  <c:v>-33.900443878981882</c:v>
                </c:pt>
                <c:pt idx="446">
                  <c:v>-34.099832981422345</c:v>
                </c:pt>
                <c:pt idx="447">
                  <c:v>-34.299249498520147</c:v>
                </c:pt>
                <c:pt idx="448">
                  <c:v>-34.498692203454937</c:v>
                </c:pt>
                <c:pt idx="449">
                  <c:v>-34.69815992400526</c:v>
                </c:pt>
                <c:pt idx="450">
                  <c:v>-34.897651540145368</c:v>
                </c:pt>
                <c:pt idx="451">
                  <c:v>-35.097165981744659</c:v>
                </c:pt>
                <c:pt idx="452">
                  <c:v>-35.296702226367728</c:v>
                </c:pt>
                <c:pt idx="453">
                  <c:v>-35.49625929716845</c:v>
                </c:pt>
                <c:pt idx="454">
                  <c:v>-35.695836260875417</c:v>
                </c:pt>
                <c:pt idx="455">
                  <c:v>-35.895432225865292</c:v>
                </c:pt>
                <c:pt idx="456">
                  <c:v>-36.095046340319357</c:v>
                </c:pt>
                <c:pt idx="457">
                  <c:v>-36.29467779046054</c:v>
                </c:pt>
                <c:pt idx="458">
                  <c:v>-36.494325798867081</c:v>
                </c:pt>
                <c:pt idx="459">
                  <c:v>-36.693989622860251</c:v>
                </c:pt>
                <c:pt idx="460">
                  <c:v>-36.893668552961913</c:v>
                </c:pt>
                <c:pt idx="461">
                  <c:v>-37.093361911420651</c:v>
                </c:pt>
                <c:pt idx="462">
                  <c:v>-37.293069050800923</c:v>
                </c:pt>
                <c:pt idx="463">
                  <c:v>-37.492789352636031</c:v>
                </c:pt>
                <c:pt idx="464">
                  <c:v>-37.692522226138692</c:v>
                </c:pt>
                <c:pt idx="465">
                  <c:v>-37.892267106968823</c:v>
                </c:pt>
                <c:pt idx="466">
                  <c:v>-38.092023456056467</c:v>
                </c:pt>
                <c:pt idx="467">
                  <c:v>-38.29179075847501</c:v>
                </c:pt>
                <c:pt idx="468">
                  <c:v>-38.491568522365547</c:v>
                </c:pt>
                <c:pt idx="469">
                  <c:v>-38.691356277907623</c:v>
                </c:pt>
                <c:pt idx="470">
                  <c:v>-38.891153576336464</c:v>
                </c:pt>
                <c:pt idx="471">
                  <c:v>-39.090959989003082</c:v>
                </c:pt>
                <c:pt idx="472">
                  <c:v>-39.290775106475813</c:v>
                </c:pt>
                <c:pt idx="473">
                  <c:v>-39.490598537682381</c:v>
                </c:pt>
                <c:pt idx="474">
                  <c:v>-39.690429909089382</c:v>
                </c:pt>
                <c:pt idx="475">
                  <c:v>-39.89026886391828</c:v>
                </c:pt>
                <c:pt idx="476">
                  <c:v>-40.090115061396638</c:v>
                </c:pt>
                <c:pt idx="477">
                  <c:v>-40.289968176041754</c:v>
                </c:pt>
                <c:pt idx="478">
                  <c:v>-40.489827896977303</c:v>
                </c:pt>
                <c:pt idx="479">
                  <c:v>-40.689693927278967</c:v>
                </c:pt>
                <c:pt idx="480">
                  <c:v>-40.889565983350877</c:v>
                </c:pt>
                <c:pt idx="481">
                  <c:v>-41.08944379432775</c:v>
                </c:pt>
                <c:pt idx="482">
                  <c:v>-41.289327101506103</c:v>
                </c:pt>
                <c:pt idx="483">
                  <c:v>-41.489215657798262</c:v>
                </c:pt>
                <c:pt idx="484">
                  <c:v>-41.689109227212739</c:v>
                </c:pt>
                <c:pt idx="485">
                  <c:v>-41.889007584356733</c:v>
                </c:pt>
                <c:pt idx="486">
                  <c:v>-42.088910513961238</c:v>
                </c:pt>
                <c:pt idx="487">
                  <c:v>-42.288817810426956</c:v>
                </c:pt>
                <c:pt idx="488">
                  <c:v>-42.488729277390902</c:v>
                </c:pt>
                <c:pt idx="489">
                  <c:v>-42.688644727312393</c:v>
                </c:pt>
                <c:pt idx="490">
                  <c:v>-42.888563981076906</c:v>
                </c:pt>
                <c:pt idx="491">
                  <c:v>-43.088486867618705</c:v>
                </c:pt>
                <c:pt idx="492">
                  <c:v>-43.288413223559061</c:v>
                </c:pt>
                <c:pt idx="493">
                  <c:v>-43.488342892861823</c:v>
                </c:pt>
                <c:pt idx="494">
                  <c:v>-43.688275726503782</c:v>
                </c:pt>
                <c:pt idx="495">
                  <c:v>-43.888211582159641</c:v>
                </c:pt>
                <c:pt idx="496">
                  <c:v>-44.088150323901814</c:v>
                </c:pt>
                <c:pt idx="497">
                  <c:v>-44.288091821912744</c:v>
                </c:pt>
                <c:pt idx="498">
                  <c:v>-44.488035952211014</c:v>
                </c:pt>
                <c:pt idx="499">
                  <c:v>-44.687982596388778</c:v>
                </c:pt>
                <c:pt idx="500">
                  <c:v>-44.887931641361988</c:v>
                </c:pt>
                <c:pt idx="501">
                  <c:v>-45.087882979130818</c:v>
                </c:pt>
                <c:pt idx="502">
                  <c:v>-45.287836506551642</c:v>
                </c:pt>
                <c:pt idx="503">
                  <c:v>-45.487792125118666</c:v>
                </c:pt>
                <c:pt idx="504">
                  <c:v>-45.687749740755628</c:v>
                </c:pt>
                <c:pt idx="505">
                  <c:v>-45.887709263616827</c:v>
                </c:pt>
                <c:pt idx="506">
                  <c:v>-46.087670607897131</c:v>
                </c:pt>
                <c:pt idx="507">
                  <c:v>-46.287633691650065</c:v>
                </c:pt>
                <c:pt idx="508">
                  <c:v>-46.487598436614689</c:v>
                </c:pt>
                <c:pt idx="509">
                  <c:v>-46.687564768050095</c:v>
                </c:pt>
                <c:pt idx="510">
                  <c:v>-46.887532614576727</c:v>
                </c:pt>
                <c:pt idx="511">
                  <c:v>-47.087501908025693</c:v>
                </c:pt>
                <c:pt idx="512">
                  <c:v>-47.287472583294416</c:v>
                </c:pt>
                <c:pt idx="513">
                  <c:v>-47.487444578208468</c:v>
                </c:pt>
                <c:pt idx="514">
                  <c:v>-47.687417833390413</c:v>
                </c:pt>
                <c:pt idx="515">
                  <c:v>-47.88739229213369</c:v>
                </c:pt>
                <c:pt idx="516">
                  <c:v>-48.087367900282558</c:v>
                </c:pt>
                <c:pt idx="517">
                  <c:v>-48.287344606117628</c:v>
                </c:pt>
                <c:pt idx="518">
                  <c:v>-48.487322360246097</c:v>
                </c:pt>
                <c:pt idx="519">
                  <c:v>-48.68730111549732</c:v>
                </c:pt>
                <c:pt idx="520">
                  <c:v>-48.887280826822717</c:v>
                </c:pt>
                <c:pt idx="521">
                  <c:v>-49.087261451200384</c:v>
                </c:pt>
                <c:pt idx="522">
                  <c:v>-49.287242947543987</c:v>
                </c:pt>
                <c:pt idx="523">
                  <c:v>-49.487225276615575</c:v>
                </c:pt>
                <c:pt idx="524">
                  <c:v>-49.687208400942858</c:v>
                </c:pt>
                <c:pt idx="525">
                  <c:v>-49.887192284739392</c:v>
                </c:pt>
                <c:pt idx="526">
                  <c:v>-50.087176893828655</c:v>
                </c:pt>
                <c:pt idx="527">
                  <c:v>-50.287162195571995</c:v>
                </c:pt>
                <c:pt idx="528">
                  <c:v>-50.487148158799506</c:v>
                </c:pt>
                <c:pt idx="529">
                  <c:v>-50.687134753743408</c:v>
                </c:pt>
                <c:pt idx="530">
                  <c:v>-50.887121951975615</c:v>
                </c:pt>
                <c:pt idx="531">
                  <c:v>-51.087109726347023</c:v>
                </c:pt>
                <c:pt idx="532">
                  <c:v>-51.287098050930268</c:v>
                </c:pt>
                <c:pt idx="533">
                  <c:v>-51.487086900964457</c:v>
                </c:pt>
                <c:pt idx="534">
                  <c:v>-51.687076252802967</c:v>
                </c:pt>
                <c:pt idx="535">
                  <c:v>-51.887066083863417</c:v>
                </c:pt>
                <c:pt idx="536">
                  <c:v>-52.087056372579355</c:v>
                </c:pt>
                <c:pt idx="537">
                  <c:v>-52.287047098354726</c:v>
                </c:pt>
                <c:pt idx="538">
                  <c:v>-52.487038241520452</c:v>
                </c:pt>
                <c:pt idx="539">
                  <c:v>-52.687029783292544</c:v>
                </c:pt>
                <c:pt idx="540">
                  <c:v>-52.887021705732153</c:v>
                </c:pt>
                <c:pt idx="541">
                  <c:v>-53.087013991707892</c:v>
                </c:pt>
              </c:numCache>
            </c:numRef>
          </c:yVal>
          <c:smooth val="1"/>
          <c:extLst>
            <c:ext xmlns:c16="http://schemas.microsoft.com/office/drawing/2014/chart" uri="{C3380CC4-5D6E-409C-BE32-E72D297353CC}">
              <c16:uniqueId val="{00000000-C95D-4273-8D1D-E8C586949522}"/>
            </c:ext>
          </c:extLst>
        </c:ser>
        <c:dLbls>
          <c:showLegendKey val="0"/>
          <c:showVal val="0"/>
          <c:showCatName val="0"/>
          <c:showSerName val="0"/>
          <c:showPercent val="0"/>
          <c:showBubbleSize val="0"/>
        </c:dLbls>
        <c:axId val="160531200"/>
        <c:axId val="160533120"/>
      </c:scatterChart>
      <c:scatterChart>
        <c:scatterStyle val="smoothMarker"/>
        <c:varyColors val="0"/>
        <c:ser>
          <c:idx val="1"/>
          <c:order val="1"/>
          <c:marker>
            <c:symbol val="none"/>
          </c:marker>
          <c:xVal>
            <c:numRef>
              <c:f>Loop_Modeling!$O$19:$O$560</c:f>
              <c:numCache>
                <c:formatCode>0.00</c:formatCode>
                <c:ptCount val="542"/>
                <c:pt idx="0">
                  <c:v>10.232929922807543</c:v>
                </c:pt>
                <c:pt idx="1">
                  <c:v>10.471285480509</c:v>
                </c:pt>
                <c:pt idx="2">
                  <c:v>10.715193052376069</c:v>
                </c:pt>
                <c:pt idx="3">
                  <c:v>10.964781961431854</c:v>
                </c:pt>
                <c:pt idx="4">
                  <c:v>11.220184543019636</c:v>
                </c:pt>
                <c:pt idx="5">
                  <c:v>11.481536214968834</c:v>
                </c:pt>
                <c:pt idx="6">
                  <c:v>11.748975549395301</c:v>
                </c:pt>
                <c:pt idx="7">
                  <c:v>12.022644346174133</c:v>
                </c:pt>
                <c:pt idx="8">
                  <c:v>12.302687708123818</c:v>
                </c:pt>
                <c:pt idx="9">
                  <c:v>12.58925411794168</c:v>
                </c:pt>
                <c:pt idx="10">
                  <c:v>12.882495516931346</c:v>
                </c:pt>
                <c:pt idx="11">
                  <c:v>13.182567385564075</c:v>
                </c:pt>
                <c:pt idx="12">
                  <c:v>13.489628825916535</c:v>
                </c:pt>
                <c:pt idx="13">
                  <c:v>13.803842646028857</c:v>
                </c:pt>
                <c:pt idx="14">
                  <c:v>14.125375446227544</c:v>
                </c:pt>
                <c:pt idx="15">
                  <c:v>14.454397707459275</c:v>
                </c:pt>
                <c:pt idx="16">
                  <c:v>14.791083881682074</c:v>
                </c:pt>
                <c:pt idx="17">
                  <c:v>15.135612484362087</c:v>
                </c:pt>
                <c:pt idx="18">
                  <c:v>15.488166189124817</c:v>
                </c:pt>
                <c:pt idx="19">
                  <c:v>15.848931924611136</c:v>
                </c:pt>
                <c:pt idx="20">
                  <c:v>16.218100973589298</c:v>
                </c:pt>
                <c:pt idx="21">
                  <c:v>16.595869074375614</c:v>
                </c:pt>
                <c:pt idx="22">
                  <c:v>16.982436524617448</c:v>
                </c:pt>
                <c:pt idx="23">
                  <c:v>17.378008287493756</c:v>
                </c:pt>
                <c:pt idx="24">
                  <c:v>17.782794100389236</c:v>
                </c:pt>
                <c:pt idx="25">
                  <c:v>18.197008586099841</c:v>
                </c:pt>
                <c:pt idx="26">
                  <c:v>18.62087136662868</c:v>
                </c:pt>
                <c:pt idx="27">
                  <c:v>19.054607179632477</c:v>
                </c:pt>
                <c:pt idx="28">
                  <c:v>19.498445997580465</c:v>
                </c:pt>
                <c:pt idx="29">
                  <c:v>19.952623149688804</c:v>
                </c:pt>
                <c:pt idx="30">
                  <c:v>20.4173794466953</c:v>
                </c:pt>
                <c:pt idx="31">
                  <c:v>20.8929613085404</c:v>
                </c:pt>
                <c:pt idx="32">
                  <c:v>21.379620895022335</c:v>
                </c:pt>
                <c:pt idx="33">
                  <c:v>21.877616239495538</c:v>
                </c:pt>
                <c:pt idx="34">
                  <c:v>22.387211385683404</c:v>
                </c:pt>
                <c:pt idx="35">
                  <c:v>22.908676527677727</c:v>
                </c:pt>
                <c:pt idx="36">
                  <c:v>23.442288153199236</c:v>
                </c:pt>
                <c:pt idx="37">
                  <c:v>23.988329190194907</c:v>
                </c:pt>
                <c:pt idx="38">
                  <c:v>24.547089156850316</c:v>
                </c:pt>
                <c:pt idx="39">
                  <c:v>25.118864315095799</c:v>
                </c:pt>
                <c:pt idx="40">
                  <c:v>25.703957827688647</c:v>
                </c:pt>
                <c:pt idx="41">
                  <c:v>26.302679918953825</c:v>
                </c:pt>
                <c:pt idx="42">
                  <c:v>26.915348039269158</c:v>
                </c:pt>
                <c:pt idx="43">
                  <c:v>27.542287033381665</c:v>
                </c:pt>
                <c:pt idx="44">
                  <c:v>28.183829312644548</c:v>
                </c:pt>
                <c:pt idx="45">
                  <c:v>28.840315031266066</c:v>
                </c:pt>
                <c:pt idx="46">
                  <c:v>29.512092266663863</c:v>
                </c:pt>
                <c:pt idx="47">
                  <c:v>30.199517204020164</c:v>
                </c:pt>
                <c:pt idx="48">
                  <c:v>30.902954325135919</c:v>
                </c:pt>
                <c:pt idx="49">
                  <c:v>31.622776601683803</c:v>
                </c:pt>
                <c:pt idx="50">
                  <c:v>32.359365692962832</c:v>
                </c:pt>
                <c:pt idx="51">
                  <c:v>33.113112148259127</c:v>
                </c:pt>
                <c:pt idx="52">
                  <c:v>33.884415613920268</c:v>
                </c:pt>
                <c:pt idx="53">
                  <c:v>34.67368504525318</c:v>
                </c:pt>
                <c:pt idx="54">
                  <c:v>35.481338923357555</c:v>
                </c:pt>
                <c:pt idx="55">
                  <c:v>36.307805477010156</c:v>
                </c:pt>
                <c:pt idx="56">
                  <c:v>37.15352290971726</c:v>
                </c:pt>
                <c:pt idx="57">
                  <c:v>38.018939632056139</c:v>
                </c:pt>
                <c:pt idx="58">
                  <c:v>38.904514499428053</c:v>
                </c:pt>
                <c:pt idx="59">
                  <c:v>39.810717055349755</c:v>
                </c:pt>
                <c:pt idx="60">
                  <c:v>40.738027780411279</c:v>
                </c:pt>
                <c:pt idx="61">
                  <c:v>41.686938347033561</c:v>
                </c:pt>
                <c:pt idx="62">
                  <c:v>42.657951880159267</c:v>
                </c:pt>
                <c:pt idx="63">
                  <c:v>43.651583224016633</c:v>
                </c:pt>
                <c:pt idx="64">
                  <c:v>44.668359215096324</c:v>
                </c:pt>
                <c:pt idx="65">
                  <c:v>45.70881896148753</c:v>
                </c:pt>
                <c:pt idx="66">
                  <c:v>46.773514128719818</c:v>
                </c:pt>
                <c:pt idx="67">
                  <c:v>47.863009232263877</c:v>
                </c:pt>
                <c:pt idx="68">
                  <c:v>48.977881936844632</c:v>
                </c:pt>
                <c:pt idx="69">
                  <c:v>50.118723362727238</c:v>
                </c:pt>
                <c:pt idx="70">
                  <c:v>51.28613839913649</c:v>
                </c:pt>
                <c:pt idx="71">
                  <c:v>52.480746024977286</c:v>
                </c:pt>
                <c:pt idx="72">
                  <c:v>53.703179637025293</c:v>
                </c:pt>
                <c:pt idx="73">
                  <c:v>54.95408738576247</c:v>
                </c:pt>
                <c:pt idx="74">
                  <c:v>56.234132519034915</c:v>
                </c:pt>
                <c:pt idx="75">
                  <c:v>57.543993733715695</c:v>
                </c:pt>
                <c:pt idx="76">
                  <c:v>58.884365535558949</c:v>
                </c:pt>
                <c:pt idx="77">
                  <c:v>60.255958607435822</c:v>
                </c:pt>
                <c:pt idx="78">
                  <c:v>61.659500186148257</c:v>
                </c:pt>
                <c:pt idx="79">
                  <c:v>63.095734448019364</c:v>
                </c:pt>
                <c:pt idx="80">
                  <c:v>64.565422903465588</c:v>
                </c:pt>
                <c:pt idx="81">
                  <c:v>66.069344800759623</c:v>
                </c:pt>
                <c:pt idx="82">
                  <c:v>67.60829753919819</c:v>
                </c:pt>
                <c:pt idx="83">
                  <c:v>69.183097091893657</c:v>
                </c:pt>
                <c:pt idx="84">
                  <c:v>70.794578438413865</c:v>
                </c:pt>
                <c:pt idx="85">
                  <c:v>72.443596007499011</c:v>
                </c:pt>
                <c:pt idx="86">
                  <c:v>74.131024130091816</c:v>
                </c:pt>
                <c:pt idx="87">
                  <c:v>75.857757502918361</c:v>
                </c:pt>
                <c:pt idx="88">
                  <c:v>77.624711662869217</c:v>
                </c:pt>
                <c:pt idx="89">
                  <c:v>79.432823472428197</c:v>
                </c:pt>
                <c:pt idx="90">
                  <c:v>81.283051616409963</c:v>
                </c:pt>
                <c:pt idx="91">
                  <c:v>83.176377110267126</c:v>
                </c:pt>
                <c:pt idx="92">
                  <c:v>85.113803820237734</c:v>
                </c:pt>
                <c:pt idx="93">
                  <c:v>87.096358995608071</c:v>
                </c:pt>
                <c:pt idx="94">
                  <c:v>89.125093813374562</c:v>
                </c:pt>
                <c:pt idx="95">
                  <c:v>91.201083935590972</c:v>
                </c:pt>
                <c:pt idx="96">
                  <c:v>93.325430079699174</c:v>
                </c:pt>
                <c:pt idx="97">
                  <c:v>95.499258602143655</c:v>
                </c:pt>
                <c:pt idx="98">
                  <c:v>97.723722095581124</c:v>
                </c:pt>
                <c:pt idx="99">
                  <c:v>100</c:v>
                </c:pt>
                <c:pt idx="100">
                  <c:v>102.32929922807544</c:v>
                </c:pt>
                <c:pt idx="101">
                  <c:v>104.71285480508998</c:v>
                </c:pt>
                <c:pt idx="102">
                  <c:v>107.15193052376065</c:v>
                </c:pt>
                <c:pt idx="103">
                  <c:v>109.64781961431861</c:v>
                </c:pt>
                <c:pt idx="104">
                  <c:v>112.20184543019634</c:v>
                </c:pt>
                <c:pt idx="105">
                  <c:v>114.81536214968835</c:v>
                </c:pt>
                <c:pt idx="106">
                  <c:v>117.48975549395293</c:v>
                </c:pt>
                <c:pt idx="107">
                  <c:v>120.22644346174135</c:v>
                </c:pt>
                <c:pt idx="108">
                  <c:v>123.02687708123821</c:v>
                </c:pt>
                <c:pt idx="109">
                  <c:v>125.89254117941677</c:v>
                </c:pt>
                <c:pt idx="110">
                  <c:v>128.82495516931343</c:v>
                </c:pt>
                <c:pt idx="111">
                  <c:v>131.82567385564084</c:v>
                </c:pt>
                <c:pt idx="112">
                  <c:v>134.89628825916537</c:v>
                </c:pt>
                <c:pt idx="113">
                  <c:v>138.0384264602886</c:v>
                </c:pt>
                <c:pt idx="114">
                  <c:v>141.25375446227542</c:v>
                </c:pt>
                <c:pt idx="115">
                  <c:v>144.54397707459285</c:v>
                </c:pt>
                <c:pt idx="116">
                  <c:v>147.91083881682084</c:v>
                </c:pt>
                <c:pt idx="117">
                  <c:v>151.3561248436209</c:v>
                </c:pt>
                <c:pt idx="118">
                  <c:v>154.8816618912482</c:v>
                </c:pt>
                <c:pt idx="119">
                  <c:v>158.48931924611153</c:v>
                </c:pt>
                <c:pt idx="120">
                  <c:v>162.18100973589304</c:v>
                </c:pt>
                <c:pt idx="121">
                  <c:v>165.95869074375622</c:v>
                </c:pt>
                <c:pt idx="122">
                  <c:v>169.82436524617444</c:v>
                </c:pt>
                <c:pt idx="123">
                  <c:v>173.78008287493768</c:v>
                </c:pt>
                <c:pt idx="124">
                  <c:v>177.82794100389242</c:v>
                </c:pt>
                <c:pt idx="125">
                  <c:v>181.9700858609983</c:v>
                </c:pt>
                <c:pt idx="126">
                  <c:v>186.20871366628685</c:v>
                </c:pt>
                <c:pt idx="127">
                  <c:v>190.54607179632498</c:v>
                </c:pt>
                <c:pt idx="128">
                  <c:v>194.98445997580458</c:v>
                </c:pt>
                <c:pt idx="129">
                  <c:v>199.52623149688802</c:v>
                </c:pt>
                <c:pt idx="130">
                  <c:v>204.17379446695315</c:v>
                </c:pt>
                <c:pt idx="131">
                  <c:v>208.92961308540396</c:v>
                </c:pt>
                <c:pt idx="132">
                  <c:v>213.79620895022339</c:v>
                </c:pt>
                <c:pt idx="133">
                  <c:v>218.77616239495524</c:v>
                </c:pt>
                <c:pt idx="134">
                  <c:v>223.87211385683412</c:v>
                </c:pt>
                <c:pt idx="135">
                  <c:v>229.08676527677744</c:v>
                </c:pt>
                <c:pt idx="136">
                  <c:v>234.42288153199232</c:v>
                </c:pt>
                <c:pt idx="137">
                  <c:v>239.88329190194912</c:v>
                </c:pt>
                <c:pt idx="138">
                  <c:v>245.4708915685033</c:v>
                </c:pt>
                <c:pt idx="139">
                  <c:v>251.18864315095806</c:v>
                </c:pt>
                <c:pt idx="140">
                  <c:v>257.03957827688663</c:v>
                </c:pt>
                <c:pt idx="141">
                  <c:v>263.02679918953817</c:v>
                </c:pt>
                <c:pt idx="142">
                  <c:v>269.15348039269179</c:v>
                </c:pt>
                <c:pt idx="143">
                  <c:v>275.42287033381683</c:v>
                </c:pt>
                <c:pt idx="144">
                  <c:v>281.83829312644554</c:v>
                </c:pt>
                <c:pt idx="145">
                  <c:v>288.40315031266073</c:v>
                </c:pt>
                <c:pt idx="146">
                  <c:v>295.12092266663871</c:v>
                </c:pt>
                <c:pt idx="147">
                  <c:v>301.99517204020168</c:v>
                </c:pt>
                <c:pt idx="148">
                  <c:v>309.02954325135937</c:v>
                </c:pt>
                <c:pt idx="149">
                  <c:v>316.22776601683825</c:v>
                </c:pt>
                <c:pt idx="150">
                  <c:v>323.59365692962825</c:v>
                </c:pt>
                <c:pt idx="151">
                  <c:v>331.13112148259137</c:v>
                </c:pt>
                <c:pt idx="152">
                  <c:v>338.84415613920277</c:v>
                </c:pt>
                <c:pt idx="153">
                  <c:v>346.73685045253183</c:v>
                </c:pt>
                <c:pt idx="154">
                  <c:v>354.81338923357566</c:v>
                </c:pt>
                <c:pt idx="155">
                  <c:v>363.07805477010152</c:v>
                </c:pt>
                <c:pt idx="156">
                  <c:v>371.53522909717265</c:v>
                </c:pt>
                <c:pt idx="157">
                  <c:v>380.18939632056163</c:v>
                </c:pt>
                <c:pt idx="158">
                  <c:v>389.04514499428063</c:v>
                </c:pt>
                <c:pt idx="159">
                  <c:v>398.10717055349761</c:v>
                </c:pt>
                <c:pt idx="160">
                  <c:v>407.38027780411272</c:v>
                </c:pt>
                <c:pt idx="161">
                  <c:v>416.86938347033572</c:v>
                </c:pt>
                <c:pt idx="162">
                  <c:v>426.57951880159294</c:v>
                </c:pt>
                <c:pt idx="163">
                  <c:v>436.51583224016622</c:v>
                </c:pt>
                <c:pt idx="164">
                  <c:v>446.68359215096331</c:v>
                </c:pt>
                <c:pt idx="165">
                  <c:v>457.0881896148756</c:v>
                </c:pt>
                <c:pt idx="166">
                  <c:v>467.7351412871983</c:v>
                </c:pt>
                <c:pt idx="167">
                  <c:v>478.63009232263886</c:v>
                </c:pt>
                <c:pt idx="168">
                  <c:v>489.77881936844625</c:v>
                </c:pt>
                <c:pt idx="169">
                  <c:v>501.18723362727269</c:v>
                </c:pt>
                <c:pt idx="170">
                  <c:v>512.86138399136519</c:v>
                </c:pt>
                <c:pt idx="171">
                  <c:v>524.80746024977248</c:v>
                </c:pt>
                <c:pt idx="172">
                  <c:v>537.03179637025301</c:v>
                </c:pt>
                <c:pt idx="173">
                  <c:v>549.54087385762534</c:v>
                </c:pt>
                <c:pt idx="174">
                  <c:v>562.34132519034927</c:v>
                </c:pt>
                <c:pt idx="175">
                  <c:v>575.43993733715706</c:v>
                </c:pt>
                <c:pt idx="176">
                  <c:v>588.84365535558959</c:v>
                </c:pt>
                <c:pt idx="177">
                  <c:v>602.55958607435832</c:v>
                </c:pt>
                <c:pt idx="178">
                  <c:v>616.59500186148273</c:v>
                </c:pt>
                <c:pt idx="179">
                  <c:v>630.95734448019323</c:v>
                </c:pt>
                <c:pt idx="180">
                  <c:v>645.65422903465594</c:v>
                </c:pt>
                <c:pt idx="181">
                  <c:v>660.69344800759643</c:v>
                </c:pt>
                <c:pt idx="182">
                  <c:v>676.08297539198213</c:v>
                </c:pt>
                <c:pt idx="183">
                  <c:v>691.83097091893671</c:v>
                </c:pt>
                <c:pt idx="184">
                  <c:v>707.94578438413873</c:v>
                </c:pt>
                <c:pt idx="185">
                  <c:v>724.43596007499025</c:v>
                </c:pt>
                <c:pt idx="186">
                  <c:v>741.31024130091828</c:v>
                </c:pt>
                <c:pt idx="187">
                  <c:v>758.57757502918378</c:v>
                </c:pt>
                <c:pt idx="188">
                  <c:v>776.24711662869231</c:v>
                </c:pt>
                <c:pt idx="189">
                  <c:v>794.32823472428208</c:v>
                </c:pt>
                <c:pt idx="190">
                  <c:v>812.83051616409978</c:v>
                </c:pt>
                <c:pt idx="191">
                  <c:v>831.7637711026714</c:v>
                </c:pt>
                <c:pt idx="192">
                  <c:v>851.13803820237763</c:v>
                </c:pt>
                <c:pt idx="193">
                  <c:v>870.96358995608091</c:v>
                </c:pt>
                <c:pt idx="194">
                  <c:v>891.25093813374656</c:v>
                </c:pt>
                <c:pt idx="195">
                  <c:v>912.01083935590987</c:v>
                </c:pt>
                <c:pt idx="196">
                  <c:v>933.25430079699106</c:v>
                </c:pt>
                <c:pt idx="197">
                  <c:v>954.99258602143675</c:v>
                </c:pt>
                <c:pt idx="198">
                  <c:v>977.23722095581138</c:v>
                </c:pt>
                <c:pt idx="199">
                  <c:v>1000</c:v>
                </c:pt>
                <c:pt idx="200">
                  <c:v>1023.2929922807547</c:v>
                </c:pt>
                <c:pt idx="201">
                  <c:v>1047.1285480509</c:v>
                </c:pt>
                <c:pt idx="202">
                  <c:v>1071.5193052376069</c:v>
                </c:pt>
                <c:pt idx="203">
                  <c:v>1096.4781961431863</c:v>
                </c:pt>
                <c:pt idx="204">
                  <c:v>1122.0184543019636</c:v>
                </c:pt>
                <c:pt idx="205">
                  <c:v>1148.1536214968839</c:v>
                </c:pt>
                <c:pt idx="206">
                  <c:v>1174.8975549395295</c:v>
                </c:pt>
                <c:pt idx="207">
                  <c:v>1202.2644346174138</c:v>
                </c:pt>
                <c:pt idx="208">
                  <c:v>1230.2687708123824</c:v>
                </c:pt>
                <c:pt idx="209">
                  <c:v>1258.925411794168</c:v>
                </c:pt>
                <c:pt idx="210">
                  <c:v>1288.2495516931347</c:v>
                </c:pt>
                <c:pt idx="211">
                  <c:v>1318.2567385564089</c:v>
                </c:pt>
                <c:pt idx="212">
                  <c:v>1348.9628825916541</c:v>
                </c:pt>
                <c:pt idx="213">
                  <c:v>1380.3842646028863</c:v>
                </c:pt>
                <c:pt idx="214">
                  <c:v>1412.5375446227545</c:v>
                </c:pt>
                <c:pt idx="215">
                  <c:v>1445.4397707459289</c:v>
                </c:pt>
                <c:pt idx="216">
                  <c:v>1479.1083881682086</c:v>
                </c:pt>
                <c:pt idx="217">
                  <c:v>1513.5612484362093</c:v>
                </c:pt>
                <c:pt idx="218">
                  <c:v>1548.8166189124822</c:v>
                </c:pt>
                <c:pt idx="219">
                  <c:v>1584.8931924611156</c:v>
                </c:pt>
                <c:pt idx="220">
                  <c:v>1621.8100973589308</c:v>
                </c:pt>
                <c:pt idx="221">
                  <c:v>1659.5869074375626</c:v>
                </c:pt>
                <c:pt idx="222">
                  <c:v>1698.2436524617447</c:v>
                </c:pt>
                <c:pt idx="223">
                  <c:v>1737.8008287493772</c:v>
                </c:pt>
                <c:pt idx="224">
                  <c:v>1778.2794100389244</c:v>
                </c:pt>
                <c:pt idx="225">
                  <c:v>1819.7008586099832</c:v>
                </c:pt>
                <c:pt idx="226">
                  <c:v>1862.0871366628687</c:v>
                </c:pt>
                <c:pt idx="227">
                  <c:v>1905.4607179632501</c:v>
                </c:pt>
                <c:pt idx="228">
                  <c:v>1949.8445997580463</c:v>
                </c:pt>
                <c:pt idx="229">
                  <c:v>1995.2623149688804</c:v>
                </c:pt>
                <c:pt idx="230">
                  <c:v>2041.7379446695318</c:v>
                </c:pt>
                <c:pt idx="231">
                  <c:v>2089.2961308540398</c:v>
                </c:pt>
                <c:pt idx="232">
                  <c:v>2137.9620895022344</c:v>
                </c:pt>
                <c:pt idx="233">
                  <c:v>2187.7616239495528</c:v>
                </c:pt>
                <c:pt idx="234">
                  <c:v>2238.7211385683418</c:v>
                </c:pt>
                <c:pt idx="235">
                  <c:v>2290.8676527677749</c:v>
                </c:pt>
                <c:pt idx="236">
                  <c:v>2344.2288153199238</c:v>
                </c:pt>
                <c:pt idx="237">
                  <c:v>2398.8329190194918</c:v>
                </c:pt>
                <c:pt idx="238">
                  <c:v>2454.7089156850338</c:v>
                </c:pt>
                <c:pt idx="239">
                  <c:v>2511.8864315095811</c:v>
                </c:pt>
                <c:pt idx="240">
                  <c:v>2570.3957827688669</c:v>
                </c:pt>
                <c:pt idx="241">
                  <c:v>2630.2679918953822</c:v>
                </c:pt>
                <c:pt idx="242">
                  <c:v>2691.5348039269184</c:v>
                </c:pt>
                <c:pt idx="243">
                  <c:v>2754.228703338169</c:v>
                </c:pt>
                <c:pt idx="244">
                  <c:v>2818.3829312644561</c:v>
                </c:pt>
                <c:pt idx="245">
                  <c:v>2884.0315031266077</c:v>
                </c:pt>
                <c:pt idx="246">
                  <c:v>2951.2092266663876</c:v>
                </c:pt>
                <c:pt idx="247">
                  <c:v>3019.9517204020176</c:v>
                </c:pt>
                <c:pt idx="248">
                  <c:v>3090.295432513592</c:v>
                </c:pt>
                <c:pt idx="249">
                  <c:v>3162.2776601683804</c:v>
                </c:pt>
                <c:pt idx="250">
                  <c:v>3235.9365692962833</c:v>
                </c:pt>
                <c:pt idx="251">
                  <c:v>3311.3112148259115</c:v>
                </c:pt>
                <c:pt idx="252">
                  <c:v>3388.4415613920314</c:v>
                </c:pt>
                <c:pt idx="253">
                  <c:v>3467.3685045253224</c:v>
                </c:pt>
                <c:pt idx="254">
                  <c:v>3548.1338923357539</c:v>
                </c:pt>
                <c:pt idx="255">
                  <c:v>3630.7805477010188</c:v>
                </c:pt>
                <c:pt idx="256">
                  <c:v>3715.352290971724</c:v>
                </c:pt>
                <c:pt idx="257">
                  <c:v>3801.8939632056172</c:v>
                </c:pt>
                <c:pt idx="258">
                  <c:v>3890.451449942811</c:v>
                </c:pt>
                <c:pt idx="259">
                  <c:v>3981.0717055349769</c:v>
                </c:pt>
                <c:pt idx="260">
                  <c:v>4073.8027780411317</c:v>
                </c:pt>
                <c:pt idx="261">
                  <c:v>4168.6938347033583</c:v>
                </c:pt>
                <c:pt idx="262">
                  <c:v>4265.7951880159299</c:v>
                </c:pt>
                <c:pt idx="263">
                  <c:v>4365.1583224016631</c:v>
                </c:pt>
                <c:pt idx="264">
                  <c:v>4466.8359215096343</c:v>
                </c:pt>
                <c:pt idx="265">
                  <c:v>4570.8818961487532</c:v>
                </c:pt>
                <c:pt idx="266">
                  <c:v>4677.3514128719844</c:v>
                </c:pt>
                <c:pt idx="267">
                  <c:v>4786.3009232263848</c:v>
                </c:pt>
                <c:pt idx="268">
                  <c:v>4897.7881936844633</c:v>
                </c:pt>
                <c:pt idx="269">
                  <c:v>5011.8723362727324</c:v>
                </c:pt>
                <c:pt idx="270">
                  <c:v>5128.6138399136489</c:v>
                </c:pt>
                <c:pt idx="271">
                  <c:v>5248.0746024977261</c:v>
                </c:pt>
                <c:pt idx="272">
                  <c:v>5370.3179637025269</c:v>
                </c:pt>
                <c:pt idx="273">
                  <c:v>5495.4087385762541</c:v>
                </c:pt>
                <c:pt idx="274">
                  <c:v>5623.4132519034993</c:v>
                </c:pt>
                <c:pt idx="275">
                  <c:v>5754.399373371567</c:v>
                </c:pt>
                <c:pt idx="276">
                  <c:v>5888.4365535558973</c:v>
                </c:pt>
                <c:pt idx="277">
                  <c:v>6025.595860743585</c:v>
                </c:pt>
                <c:pt idx="278">
                  <c:v>6165.9500186148289</c:v>
                </c:pt>
                <c:pt idx="279">
                  <c:v>6309.5734448019384</c:v>
                </c:pt>
                <c:pt idx="280">
                  <c:v>6456.5422903465615</c:v>
                </c:pt>
                <c:pt idx="281">
                  <c:v>6606.9344800759654</c:v>
                </c:pt>
                <c:pt idx="282">
                  <c:v>6760.8297539198229</c:v>
                </c:pt>
                <c:pt idx="283">
                  <c:v>6918.3097091893687</c:v>
                </c:pt>
                <c:pt idx="284">
                  <c:v>7079.4578438413828</c:v>
                </c:pt>
                <c:pt idx="285">
                  <c:v>7244.3596007499036</c:v>
                </c:pt>
                <c:pt idx="286">
                  <c:v>7413.1024130091773</c:v>
                </c:pt>
                <c:pt idx="287">
                  <c:v>7585.7757502918394</c:v>
                </c:pt>
                <c:pt idx="288">
                  <c:v>7762.4711662869322</c:v>
                </c:pt>
                <c:pt idx="289">
                  <c:v>7943.2823472428154</c:v>
                </c:pt>
                <c:pt idx="290">
                  <c:v>8128.3051616410066</c:v>
                </c:pt>
                <c:pt idx="291">
                  <c:v>8317.6377110267094</c:v>
                </c:pt>
                <c:pt idx="292">
                  <c:v>8511.3803820237772</c:v>
                </c:pt>
                <c:pt idx="293">
                  <c:v>8709.6358995608189</c:v>
                </c:pt>
                <c:pt idx="294">
                  <c:v>8912.5093813374679</c:v>
                </c:pt>
                <c:pt idx="295">
                  <c:v>9120.1083935591087</c:v>
                </c:pt>
                <c:pt idx="296">
                  <c:v>9332.5430079699217</c:v>
                </c:pt>
                <c:pt idx="297">
                  <c:v>9549.9258602143691</c:v>
                </c:pt>
                <c:pt idx="298">
                  <c:v>9772.3722095581161</c:v>
                </c:pt>
                <c:pt idx="299">
                  <c:v>10000</c:v>
                </c:pt>
                <c:pt idx="300">
                  <c:v>10232.929922807549</c:v>
                </c:pt>
                <c:pt idx="301">
                  <c:v>10471.285480509003</c:v>
                </c:pt>
                <c:pt idx="302">
                  <c:v>10715.193052376071</c:v>
                </c:pt>
                <c:pt idx="303">
                  <c:v>10964.781961431856</c:v>
                </c:pt>
                <c:pt idx="304">
                  <c:v>11220.184543019639</c:v>
                </c:pt>
                <c:pt idx="305">
                  <c:v>11481.536214968832</c:v>
                </c:pt>
                <c:pt idx="306">
                  <c:v>11748.975549395318</c:v>
                </c:pt>
                <c:pt idx="307">
                  <c:v>12022.644346174151</c:v>
                </c:pt>
                <c:pt idx="308">
                  <c:v>12302.687708123816</c:v>
                </c:pt>
                <c:pt idx="309">
                  <c:v>12589.254117941671</c:v>
                </c:pt>
                <c:pt idx="310">
                  <c:v>12882.49551693136</c:v>
                </c:pt>
                <c:pt idx="311">
                  <c:v>13182.567385564091</c:v>
                </c:pt>
                <c:pt idx="312">
                  <c:v>13489.628825916556</c:v>
                </c:pt>
                <c:pt idx="313">
                  <c:v>13803.842646028841</c:v>
                </c:pt>
                <c:pt idx="314">
                  <c:v>14125.375446227561</c:v>
                </c:pt>
                <c:pt idx="315">
                  <c:v>14454.397707459291</c:v>
                </c:pt>
                <c:pt idx="316">
                  <c:v>14791.083881682089</c:v>
                </c:pt>
                <c:pt idx="317">
                  <c:v>15135.612484362096</c:v>
                </c:pt>
                <c:pt idx="318">
                  <c:v>15488.166189124853</c:v>
                </c:pt>
                <c:pt idx="319">
                  <c:v>15848.931924611146</c:v>
                </c:pt>
                <c:pt idx="320">
                  <c:v>16218.100973589309</c:v>
                </c:pt>
                <c:pt idx="321">
                  <c:v>16595.869074375616</c:v>
                </c:pt>
                <c:pt idx="322">
                  <c:v>16982.436524617482</c:v>
                </c:pt>
                <c:pt idx="323">
                  <c:v>17378.008287493791</c:v>
                </c:pt>
                <c:pt idx="324">
                  <c:v>17782.794100389234</c:v>
                </c:pt>
                <c:pt idx="325">
                  <c:v>18197.008586099837</c:v>
                </c:pt>
                <c:pt idx="326">
                  <c:v>18620.871366628675</c:v>
                </c:pt>
                <c:pt idx="327">
                  <c:v>19054.607179632505</c:v>
                </c:pt>
                <c:pt idx="328">
                  <c:v>19498.445997580486</c:v>
                </c:pt>
                <c:pt idx="329">
                  <c:v>19952.623149688792</c:v>
                </c:pt>
                <c:pt idx="330">
                  <c:v>20417.379446695286</c:v>
                </c:pt>
                <c:pt idx="331">
                  <c:v>20892.961308540423</c:v>
                </c:pt>
                <c:pt idx="332">
                  <c:v>21379.620895022348</c:v>
                </c:pt>
                <c:pt idx="333">
                  <c:v>21877.61623949555</c:v>
                </c:pt>
                <c:pt idx="334">
                  <c:v>22387.211385683382</c:v>
                </c:pt>
                <c:pt idx="335">
                  <c:v>22908.676527677751</c:v>
                </c:pt>
                <c:pt idx="336">
                  <c:v>23442.288153199243</c:v>
                </c:pt>
                <c:pt idx="337">
                  <c:v>23988.329190194923</c:v>
                </c:pt>
                <c:pt idx="338">
                  <c:v>24547.089156850321</c:v>
                </c:pt>
                <c:pt idx="339">
                  <c:v>25118.86431509586</c:v>
                </c:pt>
                <c:pt idx="340">
                  <c:v>25703.95782768865</c:v>
                </c:pt>
                <c:pt idx="341">
                  <c:v>26302.679918953829</c:v>
                </c:pt>
                <c:pt idx="342">
                  <c:v>26915.348039269167</c:v>
                </c:pt>
                <c:pt idx="343">
                  <c:v>27542.287033381719</c:v>
                </c:pt>
                <c:pt idx="344">
                  <c:v>28183.829312644593</c:v>
                </c:pt>
                <c:pt idx="345">
                  <c:v>28840.315031266062</c:v>
                </c:pt>
                <c:pt idx="346">
                  <c:v>29512.092266663854</c:v>
                </c:pt>
                <c:pt idx="347">
                  <c:v>30199.517204020212</c:v>
                </c:pt>
                <c:pt idx="348">
                  <c:v>30902.954325135954</c:v>
                </c:pt>
                <c:pt idx="349">
                  <c:v>31622.77660168384</c:v>
                </c:pt>
                <c:pt idx="350">
                  <c:v>32359.365692962871</c:v>
                </c:pt>
                <c:pt idx="351">
                  <c:v>33113.11214825909</c:v>
                </c:pt>
                <c:pt idx="352">
                  <c:v>33884.41561392029</c:v>
                </c:pt>
                <c:pt idx="353">
                  <c:v>34673.685045253202</c:v>
                </c:pt>
                <c:pt idx="354">
                  <c:v>35481.33892335758</c:v>
                </c:pt>
                <c:pt idx="355">
                  <c:v>36307.805477010232</c:v>
                </c:pt>
                <c:pt idx="356">
                  <c:v>37153.522909717351</c:v>
                </c:pt>
                <c:pt idx="357">
                  <c:v>38018.939632056143</c:v>
                </c:pt>
                <c:pt idx="358">
                  <c:v>38904.514499428085</c:v>
                </c:pt>
                <c:pt idx="359">
                  <c:v>39810.717055349742</c:v>
                </c:pt>
                <c:pt idx="360">
                  <c:v>40738.027780411358</c:v>
                </c:pt>
                <c:pt idx="361">
                  <c:v>41686.938347033625</c:v>
                </c:pt>
                <c:pt idx="362">
                  <c:v>42657.951880159271</c:v>
                </c:pt>
                <c:pt idx="363">
                  <c:v>43651.583224016598</c:v>
                </c:pt>
                <c:pt idx="364">
                  <c:v>44668.359215096389</c:v>
                </c:pt>
                <c:pt idx="365">
                  <c:v>45708.818961487581</c:v>
                </c:pt>
                <c:pt idx="366">
                  <c:v>46773.514128719893</c:v>
                </c:pt>
                <c:pt idx="367">
                  <c:v>47863.009232263823</c:v>
                </c:pt>
                <c:pt idx="368">
                  <c:v>48977.881936844598</c:v>
                </c:pt>
                <c:pt idx="369">
                  <c:v>50118.723362727294</c:v>
                </c:pt>
                <c:pt idx="370">
                  <c:v>51286.138399136544</c:v>
                </c:pt>
                <c:pt idx="371">
                  <c:v>52480.746024977314</c:v>
                </c:pt>
                <c:pt idx="372">
                  <c:v>53703.179637025423</c:v>
                </c:pt>
                <c:pt idx="373">
                  <c:v>54954.087385762505</c:v>
                </c:pt>
                <c:pt idx="374">
                  <c:v>56234.132519034953</c:v>
                </c:pt>
                <c:pt idx="375">
                  <c:v>57543.993733715732</c:v>
                </c:pt>
                <c:pt idx="376">
                  <c:v>58884.365535558936</c:v>
                </c:pt>
                <c:pt idx="377">
                  <c:v>60255.95860743591</c:v>
                </c:pt>
                <c:pt idx="378">
                  <c:v>61659.500186148245</c:v>
                </c:pt>
                <c:pt idx="379">
                  <c:v>63095.734448019342</c:v>
                </c:pt>
                <c:pt idx="380">
                  <c:v>64565.422903465682</c:v>
                </c:pt>
                <c:pt idx="381">
                  <c:v>66069.344800759733</c:v>
                </c:pt>
                <c:pt idx="382">
                  <c:v>67608.297539198305</c:v>
                </c:pt>
                <c:pt idx="383">
                  <c:v>69183.097091893651</c:v>
                </c:pt>
                <c:pt idx="384">
                  <c:v>70794.578438413781</c:v>
                </c:pt>
                <c:pt idx="385">
                  <c:v>72443.596007499116</c:v>
                </c:pt>
                <c:pt idx="386">
                  <c:v>74131.024130091857</c:v>
                </c:pt>
                <c:pt idx="387">
                  <c:v>75857.757502918481</c:v>
                </c:pt>
                <c:pt idx="388">
                  <c:v>77624.711662869129</c:v>
                </c:pt>
                <c:pt idx="389">
                  <c:v>79432.823472428237</c:v>
                </c:pt>
                <c:pt idx="390">
                  <c:v>81283.051616410012</c:v>
                </c:pt>
                <c:pt idx="391">
                  <c:v>83176.377110267174</c:v>
                </c:pt>
                <c:pt idx="392">
                  <c:v>85113.803820237721</c:v>
                </c:pt>
                <c:pt idx="393">
                  <c:v>87096.358995608127</c:v>
                </c:pt>
                <c:pt idx="394">
                  <c:v>89125.093813374609</c:v>
                </c:pt>
                <c:pt idx="395">
                  <c:v>91201.083935591028</c:v>
                </c:pt>
                <c:pt idx="396">
                  <c:v>93325.430079699145</c:v>
                </c:pt>
                <c:pt idx="397">
                  <c:v>95499.258602143804</c:v>
                </c:pt>
                <c:pt idx="398">
                  <c:v>97723.722095581266</c:v>
                </c:pt>
                <c:pt idx="399">
                  <c:v>100000</c:v>
                </c:pt>
                <c:pt idx="400">
                  <c:v>102329.29922807543</c:v>
                </c:pt>
                <c:pt idx="401">
                  <c:v>104712.85480508996</c:v>
                </c:pt>
                <c:pt idx="402">
                  <c:v>107151.93052376082</c:v>
                </c:pt>
                <c:pt idx="403">
                  <c:v>109647.81961431868</c:v>
                </c:pt>
                <c:pt idx="404">
                  <c:v>112201.84543019651</c:v>
                </c:pt>
                <c:pt idx="405">
                  <c:v>114815.36214968823</c:v>
                </c:pt>
                <c:pt idx="406">
                  <c:v>117489.75549395311</c:v>
                </c:pt>
                <c:pt idx="407">
                  <c:v>120226.44346174144</c:v>
                </c:pt>
                <c:pt idx="408">
                  <c:v>123026.87708123829</c:v>
                </c:pt>
                <c:pt idx="409">
                  <c:v>125892.54117941685</c:v>
                </c:pt>
                <c:pt idx="410">
                  <c:v>128824.95516931375</c:v>
                </c:pt>
                <c:pt idx="411">
                  <c:v>131825.67385564081</c:v>
                </c:pt>
                <c:pt idx="412">
                  <c:v>134896.28825916545</c:v>
                </c:pt>
                <c:pt idx="413">
                  <c:v>138038.42646028858</c:v>
                </c:pt>
                <c:pt idx="414">
                  <c:v>141253.75446227577</c:v>
                </c:pt>
                <c:pt idx="415">
                  <c:v>144543.97707459307</c:v>
                </c:pt>
                <c:pt idx="416">
                  <c:v>147910.83881682079</c:v>
                </c:pt>
                <c:pt idx="417">
                  <c:v>151356.12484362084</c:v>
                </c:pt>
                <c:pt idx="418">
                  <c:v>154881.66189124843</c:v>
                </c:pt>
                <c:pt idx="419">
                  <c:v>158489.31924611164</c:v>
                </c:pt>
                <c:pt idx="420">
                  <c:v>162181.00973589328</c:v>
                </c:pt>
                <c:pt idx="421">
                  <c:v>165958.69074375604</c:v>
                </c:pt>
                <c:pt idx="422">
                  <c:v>169824.36524617471</c:v>
                </c:pt>
                <c:pt idx="423">
                  <c:v>173780.0828749378</c:v>
                </c:pt>
                <c:pt idx="424">
                  <c:v>177827.94100389251</c:v>
                </c:pt>
                <c:pt idx="425">
                  <c:v>181970.08586099857</c:v>
                </c:pt>
                <c:pt idx="426">
                  <c:v>186208.71366628664</c:v>
                </c:pt>
                <c:pt idx="427">
                  <c:v>190546.07179632492</c:v>
                </c:pt>
                <c:pt idx="428">
                  <c:v>194984.45997580473</c:v>
                </c:pt>
                <c:pt idx="429">
                  <c:v>199526.23149688813</c:v>
                </c:pt>
                <c:pt idx="430">
                  <c:v>204173.79446695308</c:v>
                </c:pt>
                <c:pt idx="431">
                  <c:v>208929.61308540447</c:v>
                </c:pt>
                <c:pt idx="432">
                  <c:v>213796.20895022334</c:v>
                </c:pt>
                <c:pt idx="433">
                  <c:v>218776.16239495538</c:v>
                </c:pt>
                <c:pt idx="434">
                  <c:v>223872.11385683404</c:v>
                </c:pt>
                <c:pt idx="435">
                  <c:v>229086.76527677779</c:v>
                </c:pt>
                <c:pt idx="436">
                  <c:v>234422.88153199267</c:v>
                </c:pt>
                <c:pt idx="437">
                  <c:v>239883.29190194907</c:v>
                </c:pt>
                <c:pt idx="438">
                  <c:v>245470.89156850305</c:v>
                </c:pt>
                <c:pt idx="439">
                  <c:v>251188.64315095844</c:v>
                </c:pt>
                <c:pt idx="440">
                  <c:v>257039.57827688678</c:v>
                </c:pt>
                <c:pt idx="441">
                  <c:v>263026.79918953858</c:v>
                </c:pt>
                <c:pt idx="442">
                  <c:v>269153.48039269145</c:v>
                </c:pt>
                <c:pt idx="443">
                  <c:v>275422.87033381703</c:v>
                </c:pt>
                <c:pt idx="444">
                  <c:v>281838.29312644573</c:v>
                </c:pt>
                <c:pt idx="445">
                  <c:v>288403.1503126609</c:v>
                </c:pt>
                <c:pt idx="446">
                  <c:v>295120.92266663886</c:v>
                </c:pt>
                <c:pt idx="447">
                  <c:v>301995.17204020242</c:v>
                </c:pt>
                <c:pt idx="448">
                  <c:v>309029.54325135931</c:v>
                </c:pt>
                <c:pt idx="449">
                  <c:v>316227.7660168382</c:v>
                </c:pt>
                <c:pt idx="450">
                  <c:v>323593.65692962846</c:v>
                </c:pt>
                <c:pt idx="451">
                  <c:v>331131.12148259126</c:v>
                </c:pt>
                <c:pt idx="452">
                  <c:v>338844.15613920329</c:v>
                </c:pt>
                <c:pt idx="453">
                  <c:v>346736.85045253241</c:v>
                </c:pt>
                <c:pt idx="454">
                  <c:v>354813.38923357555</c:v>
                </c:pt>
                <c:pt idx="455">
                  <c:v>363078.05477010203</c:v>
                </c:pt>
                <c:pt idx="456">
                  <c:v>371535.2290971732</c:v>
                </c:pt>
                <c:pt idx="457">
                  <c:v>380189.39632056188</c:v>
                </c:pt>
                <c:pt idx="458">
                  <c:v>389045.14499428123</c:v>
                </c:pt>
                <c:pt idx="459">
                  <c:v>398107.17055349716</c:v>
                </c:pt>
                <c:pt idx="460">
                  <c:v>407380.27780411334</c:v>
                </c:pt>
                <c:pt idx="461">
                  <c:v>416869.38347033598</c:v>
                </c:pt>
                <c:pt idx="462">
                  <c:v>426579.51880159322</c:v>
                </c:pt>
                <c:pt idx="463">
                  <c:v>436515.83224016649</c:v>
                </c:pt>
                <c:pt idx="464">
                  <c:v>446683.59215096442</c:v>
                </c:pt>
                <c:pt idx="465">
                  <c:v>457088.18961487547</c:v>
                </c:pt>
                <c:pt idx="466">
                  <c:v>467735.14128719864</c:v>
                </c:pt>
                <c:pt idx="467">
                  <c:v>478630.09232263872</c:v>
                </c:pt>
                <c:pt idx="468">
                  <c:v>489778.81936844654</c:v>
                </c:pt>
                <c:pt idx="469">
                  <c:v>501187.23362727347</c:v>
                </c:pt>
                <c:pt idx="470">
                  <c:v>512861.38399136515</c:v>
                </c:pt>
                <c:pt idx="471">
                  <c:v>524807.46024977288</c:v>
                </c:pt>
                <c:pt idx="472">
                  <c:v>537031.7963702539</c:v>
                </c:pt>
                <c:pt idx="473">
                  <c:v>549540.87385762564</c:v>
                </c:pt>
                <c:pt idx="474">
                  <c:v>562341.32519035018</c:v>
                </c:pt>
                <c:pt idx="475">
                  <c:v>575439.93733715697</c:v>
                </c:pt>
                <c:pt idx="476">
                  <c:v>588843.65535558888</c:v>
                </c:pt>
                <c:pt idx="477">
                  <c:v>602559.58607435878</c:v>
                </c:pt>
                <c:pt idx="478">
                  <c:v>616595.00186148309</c:v>
                </c:pt>
                <c:pt idx="479">
                  <c:v>630957.34448019415</c:v>
                </c:pt>
                <c:pt idx="480">
                  <c:v>645654.22903465747</c:v>
                </c:pt>
                <c:pt idx="481">
                  <c:v>660693.44800759677</c:v>
                </c:pt>
                <c:pt idx="482">
                  <c:v>676082.97539198259</c:v>
                </c:pt>
                <c:pt idx="483">
                  <c:v>691830.97091893724</c:v>
                </c:pt>
                <c:pt idx="484">
                  <c:v>707945.78438413853</c:v>
                </c:pt>
                <c:pt idx="485">
                  <c:v>724435.96007499192</c:v>
                </c:pt>
                <c:pt idx="486">
                  <c:v>741310.24130091805</c:v>
                </c:pt>
                <c:pt idx="487">
                  <c:v>758577.57502918423</c:v>
                </c:pt>
                <c:pt idx="488">
                  <c:v>776247.11662869214</c:v>
                </c:pt>
                <c:pt idx="489">
                  <c:v>794328.23472428333</c:v>
                </c:pt>
                <c:pt idx="490">
                  <c:v>812830.51616410096</c:v>
                </c:pt>
                <c:pt idx="491">
                  <c:v>831763.77110267128</c:v>
                </c:pt>
                <c:pt idx="492">
                  <c:v>851138.03820237669</c:v>
                </c:pt>
                <c:pt idx="493">
                  <c:v>870963.58995608077</c:v>
                </c:pt>
                <c:pt idx="494">
                  <c:v>891250.93813374708</c:v>
                </c:pt>
                <c:pt idx="495">
                  <c:v>912010.83935591124</c:v>
                </c:pt>
                <c:pt idx="496">
                  <c:v>933254.30079699249</c:v>
                </c:pt>
                <c:pt idx="497">
                  <c:v>954992.58602143743</c:v>
                </c:pt>
                <c:pt idx="498">
                  <c:v>977237.22095581202</c:v>
                </c:pt>
                <c:pt idx="499">
                  <c:v>1000000</c:v>
                </c:pt>
                <c:pt idx="500">
                  <c:v>1023292.9922807553</c:v>
                </c:pt>
                <c:pt idx="501">
                  <c:v>1047128.5480509007</c:v>
                </c:pt>
                <c:pt idx="502">
                  <c:v>1071519.3052376076</c:v>
                </c:pt>
                <c:pt idx="503">
                  <c:v>1096478.196143186</c:v>
                </c:pt>
                <c:pt idx="504">
                  <c:v>1122018.4543019643</c:v>
                </c:pt>
                <c:pt idx="505">
                  <c:v>1148153.6214968837</c:v>
                </c:pt>
                <c:pt idx="506">
                  <c:v>1174897.5549395324</c:v>
                </c:pt>
                <c:pt idx="507">
                  <c:v>1202264.4346174158</c:v>
                </c:pt>
                <c:pt idx="508">
                  <c:v>1230268.770812382</c:v>
                </c:pt>
                <c:pt idx="509">
                  <c:v>1258925.4117941677</c:v>
                </c:pt>
                <c:pt idx="510">
                  <c:v>1288249.5516931366</c:v>
                </c:pt>
                <c:pt idx="511">
                  <c:v>1318256.7385564097</c:v>
                </c:pt>
                <c:pt idx="512">
                  <c:v>1348962.8825916562</c:v>
                </c:pt>
                <c:pt idx="513">
                  <c:v>1380384.2646028849</c:v>
                </c:pt>
                <c:pt idx="514">
                  <c:v>1412537.5446227565</c:v>
                </c:pt>
                <c:pt idx="515">
                  <c:v>1445439.7707459298</c:v>
                </c:pt>
                <c:pt idx="516">
                  <c:v>1479108.3881682095</c:v>
                </c:pt>
                <c:pt idx="517">
                  <c:v>1513561.2484362102</c:v>
                </c:pt>
                <c:pt idx="518">
                  <c:v>1548816.6189124861</c:v>
                </c:pt>
                <c:pt idx="519">
                  <c:v>1584893.1924611153</c:v>
                </c:pt>
                <c:pt idx="520">
                  <c:v>1621810.0973589318</c:v>
                </c:pt>
                <c:pt idx="521">
                  <c:v>1659586.9074375622</c:v>
                </c:pt>
                <c:pt idx="522">
                  <c:v>1698243.6524617488</c:v>
                </c:pt>
                <c:pt idx="523">
                  <c:v>1737800.8287493798</c:v>
                </c:pt>
                <c:pt idx="524">
                  <c:v>1778279.4100389241</c:v>
                </c:pt>
                <c:pt idx="525">
                  <c:v>1819700.8586099846</c:v>
                </c:pt>
                <c:pt idx="526">
                  <c:v>1862087.1366628683</c:v>
                </c:pt>
                <c:pt idx="527">
                  <c:v>1905460.7179632513</c:v>
                </c:pt>
                <c:pt idx="528">
                  <c:v>1949844.5997580495</c:v>
                </c:pt>
                <c:pt idx="529">
                  <c:v>1995262.31496888</c:v>
                </c:pt>
                <c:pt idx="530">
                  <c:v>2041737.9446695296</c:v>
                </c:pt>
                <c:pt idx="531">
                  <c:v>2089296.1308540432</c:v>
                </c:pt>
                <c:pt idx="532">
                  <c:v>2137962.0895022359</c:v>
                </c:pt>
                <c:pt idx="533">
                  <c:v>2187761.6239495561</c:v>
                </c:pt>
                <c:pt idx="534">
                  <c:v>2238721.1385683389</c:v>
                </c:pt>
                <c:pt idx="535">
                  <c:v>2290867.6527677765</c:v>
                </c:pt>
                <c:pt idx="536">
                  <c:v>2344228.8153199251</c:v>
                </c:pt>
                <c:pt idx="537">
                  <c:v>2398832.9190194933</c:v>
                </c:pt>
                <c:pt idx="538">
                  <c:v>2454708.915685033</c:v>
                </c:pt>
                <c:pt idx="539">
                  <c:v>2511886.431509587</c:v>
                </c:pt>
                <c:pt idx="540">
                  <c:v>2570395.782768866</c:v>
                </c:pt>
                <c:pt idx="541">
                  <c:v>2630267.9918953842</c:v>
                </c:pt>
              </c:numCache>
            </c:numRef>
          </c:xVal>
          <c:yVal>
            <c:numRef>
              <c:f>Loop_Modeling!$AR$19:$AR$560</c:f>
              <c:numCache>
                <c:formatCode>General</c:formatCode>
                <c:ptCount val="542"/>
                <c:pt idx="0">
                  <c:v>92.467122294336036</c:v>
                </c:pt>
                <c:pt idx="1">
                  <c:v>92.524512160108685</c:v>
                </c:pt>
                <c:pt idx="2">
                  <c:v>92.583233324359654</c:v>
                </c:pt>
                <c:pt idx="3">
                  <c:v>92.643316405964711</c:v>
                </c:pt>
                <c:pt idx="4">
                  <c:v>92.704792709171898</c:v>
                </c:pt>
                <c:pt idx="5">
                  <c:v>92.767694237591812</c:v>
                </c:pt>
                <c:pt idx="6">
                  <c:v>92.832053708374318</c:v>
                </c:pt>
                <c:pt idx="7">
                  <c:v>92.89790456656678</c:v>
                </c:pt>
                <c:pt idx="8">
                  <c:v>92.965280999647177</c:v>
                </c:pt>
                <c:pt idx="9">
                  <c:v>93.034217952225617</c:v>
                </c:pt>
                <c:pt idx="10">
                  <c:v>93.104751140905847</c:v>
                </c:pt>
                <c:pt idx="11">
                  <c:v>93.176917069298085</c:v>
                </c:pt>
                <c:pt idx="12">
                  <c:v>93.250753043173191</c:v>
                </c:pt>
                <c:pt idx="13">
                  <c:v>93.326297185746981</c:v>
                </c:pt>
                <c:pt idx="14">
                  <c:v>93.403588453082122</c:v>
                </c:pt>
                <c:pt idx="15">
                  <c:v>93.482666649594393</c:v>
                </c:pt>
                <c:pt idx="16">
                  <c:v>93.563572443647701</c:v>
                </c:pt>
                <c:pt idx="17">
                  <c:v>93.646347383221425</c:v>
                </c:pt>
                <c:pt idx="18">
                  <c:v>93.731033911631684</c:v>
                </c:pt>
                <c:pt idx="19">
                  <c:v>93.817675383286954</c:v>
                </c:pt>
                <c:pt idx="20">
                  <c:v>93.906316079455138</c:v>
                </c:pt>
                <c:pt idx="21">
                  <c:v>93.9970012240194</c:v>
                </c:pt>
                <c:pt idx="22">
                  <c:v>94.089776999195536</c:v>
                </c:pt>
                <c:pt idx="23">
                  <c:v>94.184690561183302</c:v>
                </c:pt>
                <c:pt idx="24">
                  <c:v>94.281790055720506</c:v>
                </c:pt>
                <c:pt idx="25">
                  <c:v>94.381124633506815</c:v>
                </c:pt>
                <c:pt idx="26">
                  <c:v>94.482744465460073</c:v>
                </c:pt>
                <c:pt idx="27">
                  <c:v>94.586700757767488</c:v>
                </c:pt>
                <c:pt idx="28">
                  <c:v>94.693045766687916</c:v>
                </c:pt>
                <c:pt idx="29">
                  <c:v>94.801832813060059</c:v>
                </c:pt>
                <c:pt idx="30">
                  <c:v>94.913116296467635</c:v>
                </c:pt>
                <c:pt idx="31">
                  <c:v>95.02695170900779</c:v>
                </c:pt>
                <c:pt idx="32">
                  <c:v>95.143395648605789</c:v>
                </c:pt>
                <c:pt idx="33">
                  <c:v>95.262505831814948</c:v>
                </c:pt>
                <c:pt idx="34">
                  <c:v>95.384341106035251</c:v>
                </c:pt>
                <c:pt idx="35">
                  <c:v>95.508961461080105</c:v>
                </c:pt>
                <c:pt idx="36">
                  <c:v>95.636428040015986</c:v>
                </c:pt>
                <c:pt idx="37">
                  <c:v>95.766803149192285</c:v>
                </c:pt>
                <c:pt idx="38">
                  <c:v>95.900150267376347</c:v>
                </c:pt>
                <c:pt idx="39">
                  <c:v>96.036534053899047</c:v>
                </c:pt>
                <c:pt idx="40">
                  <c:v>96.176020355713021</c:v>
                </c:pt>
                <c:pt idx="41">
                  <c:v>96.318676213257177</c:v>
                </c:pt>
                <c:pt idx="42">
                  <c:v>96.464569865014994</c:v>
                </c:pt>
                <c:pt idx="43">
                  <c:v>96.613770750646069</c:v>
                </c:pt>
                <c:pt idx="44">
                  <c:v>96.76634951256402</c:v>
                </c:pt>
                <c:pt idx="45">
                  <c:v>96.922377995824235</c:v>
                </c:pt>
                <c:pt idx="46">
                  <c:v>97.081929246178206</c:v>
                </c:pt>
                <c:pt idx="47">
                  <c:v>97.245077506141101</c:v>
                </c:pt>
                <c:pt idx="48">
                  <c:v>97.411898208910969</c:v>
                </c:pt>
                <c:pt idx="49">
                  <c:v>97.582467969968519</c:v>
                </c:pt>
                <c:pt idx="50">
                  <c:v>97.756864576176255</c:v>
                </c:pt>
                <c:pt idx="51">
                  <c:v>97.935166972186678</c:v>
                </c:pt>
                <c:pt idx="52">
                  <c:v>98.117455243956783</c:v>
                </c:pt>
                <c:pt idx="53">
                  <c:v>98.303810599158993</c:v>
                </c:pt>
                <c:pt idx="54">
                  <c:v>98.494315344262873</c:v>
                </c:pt>
                <c:pt idx="55">
                  <c:v>98.689052858056897</c:v>
                </c:pt>
                <c:pt idx="56">
                  <c:v>98.888107561361352</c:v>
                </c:pt>
                <c:pt idx="57">
                  <c:v>99.091564882679137</c:v>
                </c:pt>
                <c:pt idx="58">
                  <c:v>99.29951121951332</c:v>
                </c:pt>
                <c:pt idx="59">
                  <c:v>99.512033895073401</c:v>
                </c:pt>
                <c:pt idx="60">
                  <c:v>99.729221110078967</c:v>
                </c:pt>
                <c:pt idx="61">
                  <c:v>99.951161889356896</c:v>
                </c:pt>
                <c:pt idx="62">
                  <c:v>100.17794602292061</c:v>
                </c:pt>
                <c:pt idx="63">
                  <c:v>100.40966400120617</c:v>
                </c:pt>
                <c:pt idx="64">
                  <c:v>100.6464069441307</c:v>
                </c:pt>
                <c:pt idx="65">
                  <c:v>100.88826652363072</c:v>
                </c:pt>
                <c:pt idx="66">
                  <c:v>101.13533487932683</c:v>
                </c:pt>
                <c:pt idx="67">
                  <c:v>101.38770452695587</c:v>
                </c:pt>
                <c:pt idx="68">
                  <c:v>101.64546825920344</c:v>
                </c:pt>
                <c:pt idx="69">
                  <c:v>101.90871903856616</c:v>
                </c:pt>
                <c:pt idx="70">
                  <c:v>102.17754988186871</c:v>
                </c:pt>
                <c:pt idx="71">
                  <c:v>102.45205373605897</c:v>
                </c:pt>
                <c:pt idx="72">
                  <c:v>102.7323233449072</c:v>
                </c:pt>
                <c:pt idx="73">
                  <c:v>103.01845110623637</c:v>
                </c:pt>
                <c:pt idx="74">
                  <c:v>103.31052891931756</c:v>
                </c:pt>
                <c:pt idx="75">
                  <c:v>103.60864802207485</c:v>
                </c:pt>
                <c:pt idx="76">
                  <c:v>103.91289881775521</c:v>
                </c:pt>
                <c:pt idx="77">
                  <c:v>104.22337069073581</c:v>
                </c:pt>
                <c:pt idx="78">
                  <c:v>104.54015181116446</c:v>
                </c:pt>
                <c:pt idx="79">
                  <c:v>104.86332892815292</c:v>
                </c:pt>
                <c:pt idx="80">
                  <c:v>105.19298715127132</c:v>
                </c:pt>
                <c:pt idx="81">
                  <c:v>105.52920972013648</c:v>
                </c:pt>
                <c:pt idx="82">
                  <c:v>105.87207776191941</c:v>
                </c:pt>
                <c:pt idx="83">
                  <c:v>106.22167003665528</c:v>
                </c:pt>
                <c:pt idx="84">
                  <c:v>106.57806267028889</c:v>
                </c:pt>
                <c:pt idx="85">
                  <c:v>106.94132887545712</c:v>
                </c:pt>
                <c:pt idx="86">
                  <c:v>107.31153866007513</c:v>
                </c:pt>
                <c:pt idx="87">
                  <c:v>107.68875852387878</c:v>
                </c:pt>
                <c:pt idx="88">
                  <c:v>108.0730511431565</c:v>
                </c:pt>
                <c:pt idx="89">
                  <c:v>108.46447504400523</c:v>
                </c:pt>
                <c:pt idx="90">
                  <c:v>108.86308426454355</c:v>
                </c:pt>
                <c:pt idx="91">
                  <c:v>109.26892800663536</c:v>
                </c:pt>
                <c:pt idx="92">
                  <c:v>109.68205027779031</c:v>
                </c:pt>
                <c:pt idx="93">
                  <c:v>110.1024895240447</c:v>
                </c:pt>
                <c:pt idx="94">
                  <c:v>110.53027825476073</c:v>
                </c:pt>
                <c:pt idx="95">
                  <c:v>110.96544266042712</c:v>
                </c:pt>
                <c:pt idx="96">
                  <c:v>111.40800222469602</c:v>
                </c:pt>
                <c:pt idx="97">
                  <c:v>111.85796933205241</c:v>
                </c:pt>
                <c:pt idx="98">
                  <c:v>112.31534887267007</c:v>
                </c:pt>
                <c:pt idx="99">
                  <c:v>112.78013784617681</c:v>
                </c:pt>
                <c:pt idx="100">
                  <c:v>113.25232496621959</c:v>
                </c:pt>
                <c:pt idx="101">
                  <c:v>113.73189026788793</c:v>
                </c:pt>
                <c:pt idx="102">
                  <c:v>114.21880472021746</c:v>
                </c:pt>
                <c:pt idx="103">
                  <c:v>114.71302984616187</c:v>
                </c:pt>
                <c:pt idx="104">
                  <c:v>115.21451735256956</c:v>
                </c:pt>
                <c:pt idx="105">
                  <c:v>115.72320877285195</c:v>
                </c:pt>
                <c:pt idx="106">
                  <c:v>116.23903512515876</c:v>
                </c:pt>
                <c:pt idx="107">
                  <c:v>116.76191658899319</c:v>
                </c:pt>
                <c:pt idx="108">
                  <c:v>117.29176220329681</c:v>
                </c:pt>
                <c:pt idx="109">
                  <c:v>117.82846958911071</c:v>
                </c:pt>
                <c:pt idx="110">
                  <c:v>118.37192469996478</c:v>
                </c:pt>
                <c:pt idx="111">
                  <c:v>118.92200160317243</c:v>
                </c:pt>
                <c:pt idx="112">
                  <c:v>119.47856229519044</c:v>
                </c:pt>
                <c:pt idx="113">
                  <c:v>120.04145655416517</c:v>
                </c:pt>
                <c:pt idx="114">
                  <c:v>120.61052183268963</c:v>
                </c:pt>
                <c:pt idx="115">
                  <c:v>121.18558319368584</c:v>
                </c:pt>
                <c:pt idx="116">
                  <c:v>121.76645329214861</c:v>
                </c:pt>
                <c:pt idx="117">
                  <c:v>122.35293240528469</c:v>
                </c:pt>
                <c:pt idx="118">
                  <c:v>122.94480851332905</c:v>
                </c:pt>
                <c:pt idx="119">
                  <c:v>123.54185743301721</c:v>
                </c:pt>
                <c:pt idx="120">
                  <c:v>124.1438430053678</c:v>
                </c:pt>
                <c:pt idx="121">
                  <c:v>124.75051733903577</c:v>
                </c:pt>
                <c:pt idx="122">
                  <c:v>125.36162111009608</c:v>
                </c:pt>
                <c:pt idx="123">
                  <c:v>125.97688391865749</c:v>
                </c:pt>
                <c:pt idx="124">
                  <c:v>126.59602470223163</c:v>
                </c:pt>
                <c:pt idx="125">
                  <c:v>127.21875220528158</c:v>
                </c:pt>
                <c:pt idx="126">
                  <c:v>127.84476550385146</c:v>
                </c:pt>
                <c:pt idx="127">
                  <c:v>128.47375458364721</c:v>
                </c:pt>
                <c:pt idx="128">
                  <c:v>129.10540096940869</c:v>
                </c:pt>
                <c:pt idx="129">
                  <c:v>129.7393784028838</c:v>
                </c:pt>
                <c:pt idx="130">
                  <c:v>130.37535356619242</c:v>
                </c:pt>
                <c:pt idx="131">
                  <c:v>131.01298684689024</c:v>
                </c:pt>
                <c:pt idx="132">
                  <c:v>131.65193314055853</c:v>
                </c:pt>
                <c:pt idx="133">
                  <c:v>132.29184268634123</c:v>
                </c:pt>
                <c:pt idx="134">
                  <c:v>132.93236193045357</c:v>
                </c:pt>
                <c:pt idx="135">
                  <c:v>133.57313441237059</c:v>
                </c:pt>
                <c:pt idx="136">
                  <c:v>134.21380166813202</c:v>
                </c:pt>
                <c:pt idx="137">
                  <c:v>134.85400414499287</c:v>
                </c:pt>
                <c:pt idx="138">
                  <c:v>135.49338212151855</c:v>
                </c:pt>
                <c:pt idx="139">
                  <c:v>136.13157662714752</c:v>
                </c:pt>
                <c:pt idx="140">
                  <c:v>136.7682303552605</c:v>
                </c:pt>
                <c:pt idx="141">
                  <c:v>137.40298856386084</c:v>
                </c:pt>
                <c:pt idx="142">
                  <c:v>138.03549995812656</c:v>
                </c:pt>
                <c:pt idx="143">
                  <c:v>138.66541754929804</c:v>
                </c:pt>
                <c:pt idx="144">
                  <c:v>139.29239948465224</c:v>
                </c:pt>
                <c:pt idx="145">
                  <c:v>139.91610984364178</c:v>
                </c:pt>
                <c:pt idx="146">
                  <c:v>140.53621939566648</c:v>
                </c:pt>
                <c:pt idx="147">
                  <c:v>141.15240631537421</c:v>
                </c:pt>
                <c:pt idx="148">
                  <c:v>141.76435685186027</c:v>
                </c:pt>
                <c:pt idx="149">
                  <c:v>142.37176594862393</c:v>
                </c:pt>
                <c:pt idx="150">
                  <c:v>142.97433781166777</c:v>
                </c:pt>
                <c:pt idx="151">
                  <c:v>143.57178642364835</c:v>
                </c:pt>
                <c:pt idx="152">
                  <c:v>144.1638360025209</c:v>
                </c:pt>
                <c:pt idx="153">
                  <c:v>144.75022140365687</c:v>
                </c:pt>
                <c:pt idx="154">
                  <c:v>145.33068846491943</c:v>
                </c:pt>
                <c:pt idx="155">
                  <c:v>145.90499429469665</c:v>
                </c:pt>
                <c:pt idx="156">
                  <c:v>146.47290750334849</c:v>
                </c:pt>
                <c:pt idx="157">
                  <c:v>147.03420837899054</c:v>
                </c:pt>
                <c:pt idx="158">
                  <c:v>147.58868900892546</c:v>
                </c:pt>
                <c:pt idx="159">
                  <c:v>148.1361533484237</c:v>
                </c:pt>
                <c:pt idx="160">
                  <c:v>148.67641723887795</c:v>
                </c:pt>
                <c:pt idx="161">
                  <c:v>149.20930837764462</c:v>
                </c:pt>
                <c:pt idx="162">
                  <c:v>149.73466624214052</c:v>
                </c:pt>
                <c:pt idx="163">
                  <c:v>150.25234197095352</c:v>
                </c:pt>
                <c:pt idx="164">
                  <c:v>150.76219820489936</c:v>
                </c:pt>
                <c:pt idx="165">
                  <c:v>151.26410889106273</c:v>
                </c:pt>
                <c:pt idx="166">
                  <c:v>151.75795905295232</c:v>
                </c:pt>
                <c:pt idx="167">
                  <c:v>152.24364452993098</c:v>
                </c:pt>
                <c:pt idx="168">
                  <c:v>152.72107168909452</c:v>
                </c:pt>
                <c:pt idx="169">
                  <c:v>153.19015711274997</c:v>
                </c:pt>
                <c:pt idx="170">
                  <c:v>153.6508272645859</c:v>
                </c:pt>
                <c:pt idx="171">
                  <c:v>154.10301813755154</c:v>
                </c:pt>
                <c:pt idx="172">
                  <c:v>154.54667488636534</c:v>
                </c:pt>
                <c:pt idx="173">
                  <c:v>154.98175144744772</c:v>
                </c:pt>
                <c:pt idx="174">
                  <c:v>155.40821014894522</c:v>
                </c:pt>
                <c:pt idx="175">
                  <c:v>155.82602131336327</c:v>
                </c:pt>
                <c:pt idx="176">
                  <c:v>156.23516285517195</c:v>
                </c:pt>
                <c:pt idx="177">
                  <c:v>156.63561987558444</c:v>
                </c:pt>
                <c:pt idx="178">
                  <c:v>157.02738425654562</c:v>
                </c:pt>
                <c:pt idx="179">
                  <c:v>157.41045425579617</c:v>
                </c:pt>
                <c:pt idx="180">
                  <c:v>157.78483410471304</c:v>
                </c:pt>
                <c:pt idx="181">
                  <c:v>158.15053361046293</c:v>
                </c:pt>
                <c:pt idx="182">
                  <c:v>158.50756776383804</c:v>
                </c:pt>
                <c:pt idx="183">
                  <c:v>158.85595635399346</c:v>
                </c:pt>
                <c:pt idx="184">
                  <c:v>159.19572359115156</c:v>
                </c:pt>
                <c:pt idx="185">
                  <c:v>159.52689773819125</c:v>
                </c:pt>
                <c:pt idx="186">
                  <c:v>159.84951075191364</c:v>
                </c:pt>
                <c:pt idx="187">
                  <c:v>160.16359793463505</c:v>
                </c:pt>
                <c:pt idx="188">
                  <c:v>160.46919759664956</c:v>
                </c:pt>
                <c:pt idx="189">
                  <c:v>160.76635072998317</c:v>
                </c:pt>
                <c:pt idx="190">
                  <c:v>161.0551006937672</c:v>
                </c:pt>
                <c:pt idx="191">
                  <c:v>161.33549291145761</c:v>
                </c:pt>
                <c:pt idx="192">
                  <c:v>161.60757458004707</c:v>
                </c:pt>
                <c:pt idx="193">
                  <c:v>161.87139439133551</c:v>
                </c:pt>
                <c:pt idx="194">
                  <c:v>162.12700226525959</c:v>
                </c:pt>
                <c:pt idx="195">
                  <c:v>162.37444909521591</c:v>
                </c:pt>
                <c:pt idx="196">
                  <c:v>162.61378650526308</c:v>
                </c:pt>
                <c:pt idx="197">
                  <c:v>162.84506661903768</c:v>
                </c:pt>
                <c:pt idx="198">
                  <c:v>163.06834184017993</c:v>
                </c:pt>
                <c:pt idx="199">
                  <c:v>163.28366464402873</c:v>
                </c:pt>
                <c:pt idx="200">
                  <c:v>163.49108738032109</c:v>
                </c:pt>
                <c:pt idx="201">
                  <c:v>163.6906620865995</c:v>
                </c:pt>
                <c:pt idx="202">
                  <c:v>163.88244031202089</c:v>
                </c:pt>
                <c:pt idx="203">
                  <c:v>164.06647295124154</c:v>
                </c:pt>
                <c:pt idx="204">
                  <c:v>164.24281008803948</c:v>
                </c:pt>
                <c:pt idx="205">
                  <c:v>164.41150084833529</c:v>
                </c:pt>
                <c:pt idx="206">
                  <c:v>164.57259326226452</c:v>
                </c:pt>
                <c:pt idx="207">
                  <c:v>164.72613413495449</c:v>
                </c:pt>
                <c:pt idx="208">
                  <c:v>164.87216892566178</c:v>
                </c:pt>
                <c:pt idx="209">
                  <c:v>165.01074163492973</c:v>
                </c:pt>
                <c:pt idx="210">
                  <c:v>165.14189469943219</c:v>
                </c:pt>
                <c:pt idx="211">
                  <c:v>165.26566889417842</c:v>
                </c:pt>
                <c:pt idx="212">
                  <c:v>165.38210324176254</c:v>
                </c:pt>
                <c:pt idx="213">
                  <c:v>165.49123492835315</c:v>
                </c:pt>
                <c:pt idx="214">
                  <c:v>165.59309922613099</c:v>
                </c:pt>
                <c:pt idx="215">
                  <c:v>165.6877294218952</c:v>
                </c:pt>
                <c:pt idx="216">
                  <c:v>165.77515675157363</c:v>
                </c:pt>
                <c:pt idx="217">
                  <c:v>165.85541034038727</c:v>
                </c:pt>
                <c:pt idx="218">
                  <c:v>165.92851714843528</c:v>
                </c:pt>
                <c:pt idx="219">
                  <c:v>165.99450192148115</c:v>
                </c:pt>
                <c:pt idx="220">
                  <c:v>166.05338714673988</c:v>
                </c:pt>
                <c:pt idx="221">
                  <c:v>166.1051930134806</c:v>
                </c:pt>
                <c:pt idx="222">
                  <c:v>166.14993737827774</c:v>
                </c:pt>
                <c:pt idx="223">
                  <c:v>166.18763573476033</c:v>
                </c:pt>
                <c:pt idx="224">
                  <c:v>166.21830118772715</c:v>
                </c:pt>
                <c:pt idx="225">
                  <c:v>166.24194443151291</c:v>
                </c:pt>
                <c:pt idx="226">
                  <c:v>166.25857373250895</c:v>
                </c:pt>
                <c:pt idx="227">
                  <c:v>166.26819491575901</c:v>
                </c:pt>
                <c:pt idx="228">
                  <c:v>166.27081135556929</c:v>
                </c:pt>
                <c:pt idx="229">
                  <c:v>166.26642397009022</c:v>
                </c:pt>
                <c:pt idx="230">
                  <c:v>166.25503121984502</c:v>
                </c:pt>
                <c:pt idx="231">
                  <c:v>166.23662911019758</c:v>
                </c:pt>
                <c:pt idx="232">
                  <c:v>166.211211197772</c:v>
                </c:pt>
                <c:pt idx="233">
                  <c:v>166.17876860085266</c:v>
                </c:pt>
                <c:pt idx="234">
                  <c:v>166.1392900138126</c:v>
                </c:pt>
                <c:pt idx="235">
                  <c:v>166.09276172563463</c:v>
                </c:pt>
                <c:pt idx="236">
                  <c:v>166.03916764261072</c:v>
                </c:pt>
                <c:pt idx="237">
                  <c:v>165.97848931531874</c:v>
                </c:pt>
                <c:pt idx="238">
                  <c:v>165.91070596999757</c:v>
                </c:pt>
                <c:pt idx="239">
                  <c:v>165.83579454445646</c:v>
                </c:pt>
                <c:pt idx="240">
                  <c:v>165.75372972867322</c:v>
                </c:pt>
                <c:pt idx="241">
                  <c:v>165.66448401025374</c:v>
                </c:pt>
                <c:pt idx="242">
                  <c:v>165.56802772494075</c:v>
                </c:pt>
                <c:pt idx="243">
                  <c:v>165.46432911237883</c:v>
                </c:pt>
                <c:pt idx="244">
                  <c:v>165.35335437735614</c:v>
                </c:pt>
                <c:pt idx="245">
                  <c:v>165.2350677567635</c:v>
                </c:pt>
                <c:pt idx="246">
                  <c:v>165.10943159252128</c:v>
                </c:pt>
                <c:pt idx="247">
                  <c:v>164.97640641074628</c:v>
                </c:pt>
                <c:pt idx="248">
                  <c:v>164.83595100743742</c:v>
                </c:pt>
                <c:pt idx="249">
                  <c:v>164.68802254097838</c:v>
                </c:pt>
                <c:pt idx="250">
                  <c:v>164.53257663176407</c:v>
                </c:pt>
                <c:pt idx="251">
                  <c:v>164.36956746926907</c:v>
                </c:pt>
                <c:pt idx="252">
                  <c:v>164.19894792688586</c:v>
                </c:pt>
                <c:pt idx="253">
                  <c:v>164.02066968486923</c:v>
                </c:pt>
                <c:pt idx="254">
                  <c:v>163.83468336172766</c:v>
                </c:pt>
                <c:pt idx="255">
                  <c:v>163.64093865440688</c:v>
                </c:pt>
                <c:pt idx="256">
                  <c:v>163.43938448761259</c:v>
                </c:pt>
                <c:pt idx="257">
                  <c:v>163.22996917261824</c:v>
                </c:pt>
                <c:pt idx="258">
                  <c:v>163.01264057589651</c:v>
                </c:pt>
                <c:pt idx="259">
                  <c:v>162.78734629791029</c:v>
                </c:pt>
                <c:pt idx="260">
                  <c:v>162.55403386238316</c:v>
                </c:pt>
                <c:pt idx="261">
                  <c:v>162.31265091635723</c:v>
                </c:pt>
                <c:pt idx="262">
                  <c:v>162.06314544132206</c:v>
                </c:pt>
                <c:pt idx="263">
                  <c:v>161.80546597567849</c:v>
                </c:pt>
                <c:pt idx="264">
                  <c:v>161.53956184876586</c:v>
                </c:pt>
                <c:pt idx="265">
                  <c:v>161.26538342665108</c:v>
                </c:pt>
                <c:pt idx="266">
                  <c:v>160.98288236982759</c:v>
                </c:pt>
                <c:pt idx="267">
                  <c:v>160.69201190293217</c:v>
                </c:pt>
                <c:pt idx="268">
                  <c:v>160.39272709652516</c:v>
                </c:pt>
                <c:pt idx="269">
                  <c:v>160.08498516092112</c:v>
                </c:pt>
                <c:pt idx="270">
                  <c:v>159.76874575197999</c:v>
                </c:pt>
                <c:pt idx="271">
                  <c:v>159.44397128869846</c:v>
                </c:pt>
                <c:pt idx="272">
                  <c:v>159.1106272823439</c:v>
                </c:pt>
                <c:pt idx="273">
                  <c:v>158.76868267678572</c:v>
                </c:pt>
                <c:pt idx="274">
                  <c:v>158.41811019956842</c:v>
                </c:pt>
                <c:pt idx="275">
                  <c:v>158.05888672315928</c:v>
                </c:pt>
                <c:pt idx="276">
                  <c:v>157.69099363568611</c:v>
                </c:pt>
                <c:pt idx="277">
                  <c:v>157.31441722033861</c:v>
                </c:pt>
                <c:pt idx="278">
                  <c:v>156.9291490424836</c:v>
                </c:pt>
                <c:pt idx="279">
                  <c:v>156.53518634338599</c:v>
                </c:pt>
                <c:pt idx="280">
                  <c:v>156.13253243928244</c:v>
                </c:pt>
                <c:pt idx="281">
                  <c:v>155.72119712439459</c:v>
                </c:pt>
                <c:pt idx="282">
                  <c:v>155.3011970763034</c:v>
                </c:pt>
                <c:pt idx="283">
                  <c:v>154.87255626194406</c:v>
                </c:pt>
                <c:pt idx="284">
                  <c:v>154.4353063423118</c:v>
                </c:pt>
                <c:pt idx="285">
                  <c:v>153.98948707379921</c:v>
                </c:pt>
                <c:pt idx="286">
                  <c:v>153.5351467039244</c:v>
                </c:pt>
                <c:pt idx="287">
                  <c:v>153.07234235904457</c:v>
                </c:pt>
                <c:pt idx="288">
                  <c:v>152.60114042150173</c:v>
                </c:pt>
                <c:pt idx="289">
                  <c:v>152.12161689349588</c:v>
                </c:pt>
                <c:pt idx="290">
                  <c:v>151.6338577448625</c:v>
                </c:pt>
                <c:pt idx="291">
                  <c:v>151.1379592418009</c:v>
                </c:pt>
                <c:pt idx="292">
                  <c:v>150.63402825352364</c:v>
                </c:pt>
                <c:pt idx="293">
                  <c:v>150.1221825337083</c:v>
                </c:pt>
                <c:pt idx="294">
                  <c:v>149.60255097359956</c:v>
                </c:pt>
                <c:pt idx="295">
                  <c:v>149.07527382358447</c:v>
                </c:pt>
                <c:pt idx="296">
                  <c:v>148.54050288008318</c:v>
                </c:pt>
                <c:pt idx="297">
                  <c:v>147.99840163465041</c:v>
                </c:pt>
                <c:pt idx="298">
                  <c:v>147.44914538226442</c:v>
                </c:pt>
                <c:pt idx="299">
                  <c:v>146.89292128591953</c:v>
                </c:pt>
                <c:pt idx="300">
                  <c:v>146.32992839480107</c:v>
                </c:pt>
                <c:pt idx="301">
                  <c:v>145.76037761353825</c:v>
                </c:pt>
                <c:pt idx="302">
                  <c:v>145.18449162029057</c:v>
                </c:pt>
                <c:pt idx="303">
                  <c:v>144.60250473171823</c:v>
                </c:pt>
                <c:pt idx="304">
                  <c:v>144.01466271323554</c:v>
                </c:pt>
                <c:pt idx="305">
                  <c:v>143.42122253332357</c:v>
                </c:pt>
                <c:pt idx="306">
                  <c:v>142.82245206109985</c:v>
                </c:pt>
                <c:pt idx="307">
                  <c:v>142.21862970680129</c:v>
                </c:pt>
                <c:pt idx="308">
                  <c:v>141.61004400530396</c:v>
                </c:pt>
                <c:pt idx="309">
                  <c:v>140.99699314332716</c:v>
                </c:pt>
                <c:pt idx="310">
                  <c:v>140.37978443147384</c:v>
                </c:pt>
                <c:pt idx="311">
                  <c:v>139.75873372280157</c:v>
                </c:pt>
                <c:pt idx="312">
                  <c:v>139.13416478014537</c:v>
                </c:pt>
                <c:pt idx="313">
                  <c:v>138.50640859494723</c:v>
                </c:pt>
                <c:pt idx="314">
                  <c:v>137.87580266085286</c:v>
                </c:pt>
                <c:pt idx="315">
                  <c:v>137.24269020583469</c:v>
                </c:pt>
                <c:pt idx="316">
                  <c:v>136.60741938705402</c:v>
                </c:pt>
                <c:pt idx="317">
                  <c:v>135.97034245309604</c:v>
                </c:pt>
                <c:pt idx="318">
                  <c:v>135.33181487859036</c:v>
                </c:pt>
                <c:pt idx="319">
                  <c:v>134.69219447654524</c:v>
                </c:pt>
                <c:pt idx="320">
                  <c:v>134.05184049398321</c:v>
                </c:pt>
                <c:pt idx="321">
                  <c:v>133.41111269666962</c:v>
                </c:pt>
                <c:pt idx="322">
                  <c:v>132.77037044885182</c:v>
                </c:pt>
                <c:pt idx="323">
                  <c:v>132.12997179397644</c:v>
                </c:pt>
                <c:pt idx="324">
                  <c:v>131.4902725423544</c:v>
                </c:pt>
                <c:pt idx="325">
                  <c:v>130.8516253716451</c:v>
                </c:pt>
                <c:pt idx="326">
                  <c:v>130.21437894588954</c:v>
                </c:pt>
                <c:pt idx="327">
                  <c:v>129.57887705858153</c:v>
                </c:pt>
                <c:pt idx="328">
                  <c:v>128.94545780501028</c:v>
                </c:pt>
                <c:pt idx="329">
                  <c:v>128.3144527887379</c:v>
                </c:pt>
                <c:pt idx="330">
                  <c:v>127.68618636670699</c:v>
                </c:pt>
                <c:pt idx="331">
                  <c:v>127.06097493701911</c:v>
                </c:pt>
                <c:pt idx="332">
                  <c:v>126.43912627297166</c:v>
                </c:pt>
                <c:pt idx="333">
                  <c:v>125.82093890641642</c:v>
                </c:pt>
                <c:pt idx="334">
                  <c:v>125.20670156301468</c:v>
                </c:pt>
                <c:pt idx="335">
                  <c:v>124.59669265139748</c:v>
                </c:pt>
                <c:pt idx="336">
                  <c:v>123.99117980774366</c:v>
                </c:pt>
                <c:pt idx="337">
                  <c:v>123.39041949672365</c:v>
                </c:pt>
                <c:pt idx="338">
                  <c:v>122.79465666926785</c:v>
                </c:pt>
                <c:pt idx="339">
                  <c:v>122.20412447710859</c:v>
                </c:pt>
                <c:pt idx="340">
                  <c:v>121.61904404357446</c:v>
                </c:pt>
                <c:pt idx="341">
                  <c:v>121.03962428967596</c:v>
                </c:pt>
                <c:pt idx="342">
                  <c:v>120.46606181411525</c:v>
                </c:pt>
                <c:pt idx="343">
                  <c:v>119.8985408254858</c:v>
                </c:pt>
                <c:pt idx="344">
                  <c:v>119.33723312459325</c:v>
                </c:pt>
                <c:pt idx="345">
                  <c:v>118.78229813455805</c:v>
                </c:pt>
                <c:pt idx="346">
                  <c:v>118.23388297610099</c:v>
                </c:pt>
                <c:pt idx="347">
                  <c:v>117.69212258523601</c:v>
                </c:pt>
                <c:pt idx="348">
                  <c:v>117.15713987041543</c:v>
                </c:pt>
                <c:pt idx="349">
                  <c:v>116.62904590607981</c:v>
                </c:pt>
                <c:pt idx="350">
                  <c:v>116.10794015947897</c:v>
                </c:pt>
                <c:pt idx="351">
                  <c:v>115.59391074759159</c:v>
                </c:pt>
                <c:pt idx="352">
                  <c:v>115.08703472097535</c:v>
                </c:pt>
                <c:pt idx="353">
                  <c:v>114.58737837140208</c:v>
                </c:pt>
                <c:pt idx="354">
                  <c:v>114.09499756018604</c:v>
                </c:pt>
                <c:pt idx="355">
                  <c:v>113.60993806420444</c:v>
                </c:pt>
                <c:pt idx="356">
                  <c:v>113.1322359366966</c:v>
                </c:pt>
                <c:pt idx="357">
                  <c:v>112.66191788006783</c:v>
                </c:pt>
                <c:pt idx="358">
                  <c:v>112.19900162803783</c:v>
                </c:pt>
                <c:pt idx="359">
                  <c:v>111.74349633464122</c:v>
                </c:pt>
                <c:pt idx="360">
                  <c:v>111.29540296773071</c:v>
                </c:pt>
                <c:pt idx="361">
                  <c:v>110.85471470480176</c:v>
                </c:pt>
                <c:pt idx="362">
                  <c:v>110.42141732912333</c:v>
                </c:pt>
                <c:pt idx="363">
                  <c:v>109.99548962432732</c:v>
                </c:pt>
                <c:pt idx="364">
                  <c:v>109.57690376577369</c:v>
                </c:pt>
                <c:pt idx="365">
                  <c:v>109.16562570718438</c:v>
                </c:pt>
                <c:pt idx="366">
                  <c:v>108.76161556118028</c:v>
                </c:pt>
                <c:pt idx="367">
                  <c:v>108.36482797253802</c:v>
                </c:pt>
                <c:pt idx="368">
                  <c:v>107.97521248311016</c:v>
                </c:pt>
                <c:pt idx="369">
                  <c:v>107.59271388751111</c:v>
                </c:pt>
                <c:pt idx="370">
                  <c:v>107.21727257880042</c:v>
                </c:pt>
                <c:pt idx="371">
                  <c:v>106.84882488352466</c:v>
                </c:pt>
                <c:pt idx="372">
                  <c:v>106.48730338559598</c:v>
                </c:pt>
                <c:pt idx="373">
                  <c:v>106.13263723860257</c:v>
                </c:pt>
                <c:pt idx="374">
                  <c:v>105.78475246623883</c:v>
                </c:pt>
                <c:pt idx="375">
                  <c:v>105.44357225064644</c:v>
                </c:pt>
                <c:pt idx="376">
                  <c:v>105.10901720853531</c:v>
                </c:pt>
                <c:pt idx="377">
                  <c:v>104.78100565503362</c:v>
                </c:pt>
                <c:pt idx="378">
                  <c:v>104.45945385528618</c:v>
                </c:pt>
                <c:pt idx="379">
                  <c:v>104.14427626387803</c:v>
                </c:pt>
                <c:pt idx="380">
                  <c:v>103.83538575221873</c:v>
                </c:pt>
                <c:pt idx="381">
                  <c:v>103.53269382406727</c:v>
                </c:pt>
                <c:pt idx="382">
                  <c:v>103.23611081942062</c:v>
                </c:pt>
                <c:pt idx="383">
                  <c:v>102.94554610702177</c:v>
                </c:pt>
                <c:pt idx="384">
                  <c:v>102.66090826577582</c:v>
                </c:pt>
                <c:pt idx="385">
                  <c:v>102.38210525538493</c:v>
                </c:pt>
                <c:pt idx="386">
                  <c:v>102.109044576534</c:v>
                </c:pt>
                <c:pt idx="387">
                  <c:v>101.84163342097399</c:v>
                </c:pt>
                <c:pt idx="388">
                  <c:v>101.57977881186287</c:v>
                </c:pt>
                <c:pt idx="389">
                  <c:v>101.32338773473103</c:v>
                </c:pt>
                <c:pt idx="390">
                  <c:v>101.07236725944566</c:v>
                </c:pt>
                <c:pt idx="391">
                  <c:v>100.8266246535475</c:v>
                </c:pt>
                <c:pt idx="392">
                  <c:v>100.58606748733868</c:v>
                </c:pt>
                <c:pt idx="393">
                  <c:v>100.35060373109354</c:v>
                </c:pt>
                <c:pt idx="394">
                  <c:v>100.12014184476318</c:v>
                </c:pt>
                <c:pt idx="395">
                  <c:v>99.894590860539381</c:v>
                </c:pt>
                <c:pt idx="396">
                  <c:v>99.673860458634451</c:v>
                </c:pt>
                <c:pt idx="397">
                  <c:v>99.457861036628941</c:v>
                </c:pt>
                <c:pt idx="398">
                  <c:v>99.246503772726825</c:v>
                </c:pt>
                <c:pt idx="399">
                  <c:v>99.039700683250786</c:v>
                </c:pt>
                <c:pt idx="400">
                  <c:v>98.837364674699558</c:v>
                </c:pt>
                <c:pt idx="401">
                  <c:v>98.639409590676394</c:v>
                </c:pt>
                <c:pt idx="402">
                  <c:v>98.445750253989786</c:v>
                </c:pt>
                <c:pt idx="403">
                  <c:v>98.256302504214517</c:v>
                </c:pt>
                <c:pt idx="404">
                  <c:v>98.070983230988659</c:v>
                </c:pt>
                <c:pt idx="405">
                  <c:v>97.889710403313771</c:v>
                </c:pt>
                <c:pt idx="406">
                  <c:v>97.712403095110503</c:v>
                </c:pt>
                <c:pt idx="407">
                  <c:v>97.538981507273164</c:v>
                </c:pt>
                <c:pt idx="408">
                  <c:v>97.369366986453826</c:v>
                </c:pt>
                <c:pt idx="409">
                  <c:v>97.203482040796118</c:v>
                </c:pt>
                <c:pt idx="410">
                  <c:v>97.0412503528282</c:v>
                </c:pt>
                <c:pt idx="411">
                  <c:v>96.882596789714057</c:v>
                </c:pt>
                <c:pt idx="412">
                  <c:v>96.727447411050008</c:v>
                </c:pt>
                <c:pt idx="413">
                  <c:v>96.575729474386648</c:v>
                </c:pt>
                <c:pt idx="414">
                  <c:v>96.427371438644343</c:v>
                </c:pt>
                <c:pt idx="415">
                  <c:v>96.282302965580769</c:v>
                </c:pt>
                <c:pt idx="416">
                  <c:v>96.140454919462954</c:v>
                </c:pt>
                <c:pt idx="417">
                  <c:v>96.001759365083757</c:v>
                </c:pt>
                <c:pt idx="418">
                  <c:v>95.866149564257924</c:v>
                </c:pt>
                <c:pt idx="419">
                  <c:v>95.733559970922556</c:v>
                </c:pt>
                <c:pt idx="420">
                  <c:v>95.603926224960233</c:v>
                </c:pt>
                <c:pt idx="421">
                  <c:v>95.477185144856278</c:v>
                </c:pt>
                <c:pt idx="422">
                  <c:v>95.353274719293751</c:v>
                </c:pt>
                <c:pt idx="423">
                  <c:v>95.232134097783728</c:v>
                </c:pt>
                <c:pt idx="424">
                  <c:v>95.113703580422694</c:v>
                </c:pt>
                <c:pt idx="425">
                  <c:v>94.997924606861517</c:v>
                </c:pt>
                <c:pt idx="426">
                  <c:v>94.884739744567042</c:v>
                </c:pt>
                <c:pt idx="427">
                  <c:v>94.774092676449996</c:v>
                </c:pt>
                <c:pt idx="428">
                  <c:v>94.665928187928714</c:v>
                </c:pt>
                <c:pt idx="429">
                  <c:v>94.560192153494143</c:v>
                </c:pt>
                <c:pt idx="430">
                  <c:v>94.456831522836012</c:v>
                </c:pt>
                <c:pt idx="431">
                  <c:v>94.355794306585949</c:v>
                </c:pt>
                <c:pt idx="432">
                  <c:v>94.257029561730377</c:v>
                </c:pt>
                <c:pt idx="433">
                  <c:v>94.160487376741173</c:v>
                </c:pt>
                <c:pt idx="434">
                  <c:v>94.066118856468833</c:v>
                </c:pt>
                <c:pt idx="435">
                  <c:v>93.973876106839924</c:v>
                </c:pt>
                <c:pt idx="436">
                  <c:v>93.88371221939741</c:v>
                </c:pt>
                <c:pt idx="437">
                  <c:v>93.795581255718659</c:v>
                </c:pt>
                <c:pt idx="438">
                  <c:v>93.709438231744713</c:v>
                </c:pt>
                <c:pt idx="439">
                  <c:v>93.625239102050514</c:v>
                </c:pt>
                <c:pt idx="440">
                  <c:v>93.542940744084021</c:v>
                </c:pt>
                <c:pt idx="441">
                  <c:v>93.4625009423996</c:v>
                </c:pt>
                <c:pt idx="442">
                  <c:v>93.383878372909365</c:v>
                </c:pt>
                <c:pt idx="443">
                  <c:v>93.307032587173595</c:v>
                </c:pt>
                <c:pt idx="444">
                  <c:v>93.231923996750027</c:v>
                </c:pt>
                <c:pt idx="445">
                  <c:v>93.15851385761971</c:v>
                </c:pt>
                <c:pt idx="446">
                  <c:v>93.086764254705884</c:v>
                </c:pt>
                <c:pt idx="447">
                  <c:v>93.016638086500492</c:v>
                </c:pt>
                <c:pt idx="448">
                  <c:v>92.948099049811688</c:v>
                </c:pt>
                <c:pt idx="449">
                  <c:v>92.88111162464439</c:v>
                </c:pt>
                <c:pt idx="450">
                  <c:v>92.815641059224802</c:v>
                </c:pt>
                <c:pt idx="451">
                  <c:v>92.751653355178561</c:v>
                </c:pt>
                <c:pt idx="452">
                  <c:v>92.689115252871076</c:v>
                </c:pt>
                <c:pt idx="453">
                  <c:v>92.627994216918026</c:v>
                </c:pt>
                <c:pt idx="454">
                  <c:v>92.568258421872514</c:v>
                </c:pt>
                <c:pt idx="455">
                  <c:v>92.509876738094846</c:v>
                </c:pt>
                <c:pt idx="456">
                  <c:v>92.452818717810501</c:v>
                </c:pt>
                <c:pt idx="457">
                  <c:v>92.397054581360251</c:v>
                </c:pt>
                <c:pt idx="458">
                  <c:v>92.342555203646413</c:v>
                </c:pt>
                <c:pt idx="459">
                  <c:v>92.289292100778582</c:v>
                </c:pt>
                <c:pt idx="460">
                  <c:v>92.237237416921175</c:v>
                </c:pt>
                <c:pt idx="461">
                  <c:v>92.186363911345254</c:v>
                </c:pt>
                <c:pt idx="462">
                  <c:v>92.136644945685632</c:v>
                </c:pt>
                <c:pt idx="463">
                  <c:v>92.088054471405187</c:v>
                </c:pt>
                <c:pt idx="464">
                  <c:v>92.040567017466486</c:v>
                </c:pt>
                <c:pt idx="465">
                  <c:v>91.994157678211579</c:v>
                </c:pt>
                <c:pt idx="466">
                  <c:v>91.948802101449715</c:v>
                </c:pt>
                <c:pt idx="467">
                  <c:v>91.904476476752677</c:v>
                </c:pt>
                <c:pt idx="468">
                  <c:v>91.8611575239578</c:v>
                </c:pt>
                <c:pt idx="469">
                  <c:v>91.818822481876751</c:v>
                </c:pt>
                <c:pt idx="470">
                  <c:v>91.777449097210138</c:v>
                </c:pt>
                <c:pt idx="471">
                  <c:v>91.737015613665974</c:v>
                </c:pt>
                <c:pt idx="472">
                  <c:v>91.697500761280821</c:v>
                </c:pt>
                <c:pt idx="473">
                  <c:v>91.658883745941878</c:v>
                </c:pt>
                <c:pt idx="474">
                  <c:v>91.621144239108432</c:v>
                </c:pt>
                <c:pt idx="475">
                  <c:v>91.584262367730233</c:v>
                </c:pt>
                <c:pt idx="476">
                  <c:v>91.54821870436146</c:v>
                </c:pt>
                <c:pt idx="477">
                  <c:v>91.512994257467454</c:v>
                </c:pt>
                <c:pt idx="478">
                  <c:v>91.478570461922217</c:v>
                </c:pt>
                <c:pt idx="479">
                  <c:v>91.444929169694504</c:v>
                </c:pt>
                <c:pt idx="480">
                  <c:v>91.412052640719494</c:v>
                </c:pt>
                <c:pt idx="481">
                  <c:v>91.379923533954383</c:v>
                </c:pt>
                <c:pt idx="482">
                  <c:v>91.348524898614357</c:v>
                </c:pt>
                <c:pt idx="483">
                  <c:v>91.317840165587285</c:v>
                </c:pt>
                <c:pt idx="484">
                  <c:v>91.287853139023667</c:v>
                </c:pt>
                <c:pt idx="485">
                  <c:v>91.258547988099792</c:v>
                </c:pt>
                <c:pt idx="486">
                  <c:v>91.229909238950981</c:v>
                </c:pt>
                <c:pt idx="487">
                  <c:v>91.20192176677233</c:v>
                </c:pt>
                <c:pt idx="488">
                  <c:v>91.174570788084296</c:v>
                </c:pt>
                <c:pt idx="489">
                  <c:v>91.147841853160216</c:v>
                </c:pt>
                <c:pt idx="490">
                  <c:v>91.121720838613086</c:v>
                </c:pt>
                <c:pt idx="491">
                  <c:v>91.096193940138917</c:v>
                </c:pt>
                <c:pt idx="492">
                  <c:v>91.071247665413679</c:v>
                </c:pt>
                <c:pt idx="493">
                  <c:v>91.046868827141466</c:v>
                </c:pt>
                <c:pt idx="494">
                  <c:v>91.023044536250808</c:v>
                </c:pt>
                <c:pt idx="495">
                  <c:v>90.999762195236499</c:v>
                </c:pt>
                <c:pt idx="496">
                  <c:v>90.977009491644537</c:v>
                </c:pt>
                <c:pt idx="497">
                  <c:v>90.954774391696958</c:v>
                </c:pt>
                <c:pt idx="498">
                  <c:v>90.933045134054481</c:v>
                </c:pt>
                <c:pt idx="499">
                  <c:v>90.911810223713914</c:v>
                </c:pt>
                <c:pt idx="500">
                  <c:v>90.891058426037972</c:v>
                </c:pt>
                <c:pt idx="501">
                  <c:v>90.870778760914774</c:v>
                </c:pt>
                <c:pt idx="502">
                  <c:v>90.850960497044525</c:v>
                </c:pt>
                <c:pt idx="503">
                  <c:v>90.831593146351025</c:v>
                </c:pt>
                <c:pt idx="504">
                  <c:v>90.812666458515238</c:v>
                </c:pt>
                <c:pt idx="505">
                  <c:v>90.794170415628699</c:v>
                </c:pt>
                <c:pt idx="506">
                  <c:v>90.776095226964202</c:v>
                </c:pt>
                <c:pt idx="507">
                  <c:v>90.758431323861544</c:v>
                </c:pt>
                <c:pt idx="508">
                  <c:v>90.741169354725784</c:v>
                </c:pt>
                <c:pt idx="509">
                  <c:v>90.724300180135941</c:v>
                </c:pt>
                <c:pt idx="510">
                  <c:v>90.707814868061519</c:v>
                </c:pt>
                <c:pt idx="511">
                  <c:v>90.691704689185045</c:v>
                </c:pt>
                <c:pt idx="512">
                  <c:v>90.675961112328139</c:v>
                </c:pt>
                <c:pt idx="513">
                  <c:v>90.66057579997883</c:v>
                </c:pt>
                <c:pt idx="514">
                  <c:v>90.645540603918477</c:v>
                </c:pt>
                <c:pt idx="515">
                  <c:v>90.630847560945611</c:v>
                </c:pt>
                <c:pt idx="516">
                  <c:v>90.616488888695088</c:v>
                </c:pt>
                <c:pt idx="517">
                  <c:v>90.602456981550347</c:v>
                </c:pt>
                <c:pt idx="518">
                  <c:v>90.58874440664674</c:v>
                </c:pt>
                <c:pt idx="519">
                  <c:v>90.575343899964139</c:v>
                </c:pt>
                <c:pt idx="520">
                  <c:v>90.562248362506779</c:v>
                </c:pt>
                <c:pt idx="521">
                  <c:v>90.549450856568569</c:v>
                </c:pt>
                <c:pt idx="522">
                  <c:v>90.536944602081803</c:v>
                </c:pt>
                <c:pt idx="523">
                  <c:v>90.524722973047915</c:v>
                </c:pt>
                <c:pt idx="524">
                  <c:v>90.512779494047933</c:v>
                </c:pt>
                <c:pt idx="525">
                  <c:v>90.50110783683138</c:v>
                </c:pt>
                <c:pt idx="526">
                  <c:v>90.489701816981636</c:v>
                </c:pt>
                <c:pt idx="527">
                  <c:v>90.478555390656226</c:v>
                </c:pt>
                <c:pt idx="528">
                  <c:v>90.467662651400303</c:v>
                </c:pt>
                <c:pt idx="529">
                  <c:v>90.457017827031862</c:v>
                </c:pt>
                <c:pt idx="530">
                  <c:v>90.446615276596873</c:v>
                </c:pt>
                <c:pt idx="531">
                  <c:v>90.436449487393091</c:v>
                </c:pt>
                <c:pt idx="532">
                  <c:v>90.426515072060852</c:v>
                </c:pt>
                <c:pt idx="533">
                  <c:v>90.416806765739366</c:v>
                </c:pt>
                <c:pt idx="534">
                  <c:v>90.40731942328712</c:v>
                </c:pt>
                <c:pt idx="535">
                  <c:v>90.398048016564999</c:v>
                </c:pt>
                <c:pt idx="536">
                  <c:v>90.388987631780708</c:v>
                </c:pt>
                <c:pt idx="537">
                  <c:v>90.380133466893071</c:v>
                </c:pt>
                <c:pt idx="538">
                  <c:v>90.371480829074954</c:v>
                </c:pt>
                <c:pt idx="539">
                  <c:v>90.363025132233545</c:v>
                </c:pt>
                <c:pt idx="540">
                  <c:v>90.35476189458663</c:v>
                </c:pt>
                <c:pt idx="541">
                  <c:v>90.346686736293549</c:v>
                </c:pt>
              </c:numCache>
            </c:numRef>
          </c:yVal>
          <c:smooth val="1"/>
          <c:extLst>
            <c:ext xmlns:c16="http://schemas.microsoft.com/office/drawing/2014/chart" uri="{C3380CC4-5D6E-409C-BE32-E72D297353CC}">
              <c16:uniqueId val="{00000001-C95D-4273-8D1D-E8C586949522}"/>
            </c:ext>
          </c:extLst>
        </c:ser>
        <c:dLbls>
          <c:showLegendKey val="0"/>
          <c:showVal val="0"/>
          <c:showCatName val="0"/>
          <c:showSerName val="0"/>
          <c:showPercent val="0"/>
          <c:showBubbleSize val="0"/>
        </c:dLbls>
        <c:axId val="160545024"/>
        <c:axId val="160543488"/>
      </c:scatterChart>
      <c:valAx>
        <c:axId val="160531200"/>
        <c:scaling>
          <c:logBase val="10"/>
          <c:orientation val="minMax"/>
          <c:max val="2200000"/>
          <c:min val="10"/>
        </c:scaling>
        <c:delete val="0"/>
        <c:axPos val="b"/>
        <c:minorGridlines/>
        <c:title>
          <c:tx>
            <c:rich>
              <a:bodyPr/>
              <a:lstStyle/>
              <a:p>
                <a:pPr>
                  <a:defRPr/>
                </a:pPr>
                <a:r>
                  <a:rPr lang="en-US"/>
                  <a:t>Frequency</a:t>
                </a:r>
                <a:r>
                  <a:rPr lang="en-US" baseline="0"/>
                  <a:t> (Hz)</a:t>
                </a:r>
                <a:endParaRPr lang="en-US"/>
              </a:p>
            </c:rich>
          </c:tx>
          <c:overlay val="0"/>
        </c:title>
        <c:numFmt formatCode="0" sourceLinked="0"/>
        <c:majorTickMark val="out"/>
        <c:minorTickMark val="none"/>
        <c:tickLblPos val="low"/>
        <c:crossAx val="160533120"/>
        <c:crosses val="autoZero"/>
        <c:crossBetween val="midCat"/>
      </c:valAx>
      <c:valAx>
        <c:axId val="160533120"/>
        <c:scaling>
          <c:orientation val="minMax"/>
          <c:max val="40"/>
          <c:min val="-40"/>
        </c:scaling>
        <c:delete val="0"/>
        <c:axPos val="l"/>
        <c:majorGridlines/>
        <c:minorGridlines/>
        <c:title>
          <c:tx>
            <c:rich>
              <a:bodyPr rot="-5400000" vert="horz"/>
              <a:lstStyle/>
              <a:p>
                <a:pPr>
                  <a:defRPr/>
                </a:pPr>
                <a:r>
                  <a:rPr lang="en-US"/>
                  <a:t>Gain</a:t>
                </a:r>
                <a:r>
                  <a:rPr lang="en-US" baseline="0"/>
                  <a:t> (dB)</a:t>
                </a:r>
                <a:endParaRPr lang="en-US"/>
              </a:p>
            </c:rich>
          </c:tx>
          <c:overlay val="0"/>
        </c:title>
        <c:numFmt formatCode="General" sourceLinked="0"/>
        <c:majorTickMark val="out"/>
        <c:minorTickMark val="none"/>
        <c:tickLblPos val="nextTo"/>
        <c:crossAx val="160531200"/>
        <c:crosses val="autoZero"/>
        <c:crossBetween val="midCat"/>
        <c:majorUnit val="20"/>
        <c:minorUnit val="10"/>
      </c:valAx>
      <c:valAx>
        <c:axId val="160543488"/>
        <c:scaling>
          <c:orientation val="minMax"/>
          <c:max val="180"/>
          <c:min val="-180"/>
        </c:scaling>
        <c:delete val="0"/>
        <c:axPos val="r"/>
        <c:numFmt formatCode="General" sourceLinked="1"/>
        <c:majorTickMark val="out"/>
        <c:minorTickMark val="none"/>
        <c:tickLblPos val="nextTo"/>
        <c:crossAx val="160545024"/>
        <c:crosses val="max"/>
        <c:crossBetween val="midCat"/>
        <c:majorUnit val="90"/>
        <c:minorUnit val="45"/>
      </c:valAx>
      <c:valAx>
        <c:axId val="160545024"/>
        <c:scaling>
          <c:logBase val="10"/>
          <c:orientation val="minMax"/>
        </c:scaling>
        <c:delete val="1"/>
        <c:axPos val="b"/>
        <c:numFmt formatCode="0.00" sourceLinked="1"/>
        <c:majorTickMark val="out"/>
        <c:minorTickMark val="none"/>
        <c:tickLblPos val="nextTo"/>
        <c:crossAx val="160543488"/>
        <c:crosses val="autoZero"/>
        <c:crossBetween val="midCat"/>
      </c:valAx>
    </c:plotArea>
    <c:legend>
      <c:legendPos val="r"/>
      <c:layout>
        <c:manualLayout>
          <c:xMode val="edge"/>
          <c:yMode val="edge"/>
          <c:x val="0.79880558209512509"/>
          <c:y val="0.14321997959862004"/>
          <c:w val="0.13485048155591431"/>
          <c:h val="0.10528624969913696"/>
        </c:manualLayout>
      </c:layout>
      <c:overlay val="1"/>
      <c:spPr>
        <a:solidFill>
          <a:schemeClr val="bg1"/>
        </a:solidFill>
      </c:spPr>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TW"/>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Control Loop Transfer Function</a:t>
            </a:r>
          </a:p>
        </c:rich>
      </c:tx>
      <c:overlay val="0"/>
    </c:title>
    <c:autoTitleDeleted val="0"/>
    <c:plotArea>
      <c:layout/>
      <c:scatterChart>
        <c:scatterStyle val="smoothMarker"/>
        <c:varyColors val="0"/>
        <c:ser>
          <c:idx val="0"/>
          <c:order val="0"/>
          <c:tx>
            <c:v>Gain (dB)</c:v>
          </c:tx>
          <c:spPr>
            <a:ln w="38100">
              <a:solidFill>
                <a:srgbClr val="FF0000"/>
              </a:solidFill>
            </a:ln>
          </c:spPr>
          <c:marker>
            <c:symbol val="none"/>
          </c:marker>
          <c:xVal>
            <c:numRef>
              <c:f>Loop_Modeling!$O$19:$O$560</c:f>
              <c:numCache>
                <c:formatCode>0.00</c:formatCode>
                <c:ptCount val="542"/>
                <c:pt idx="0">
                  <c:v>10.232929922807543</c:v>
                </c:pt>
                <c:pt idx="1">
                  <c:v>10.471285480509</c:v>
                </c:pt>
                <c:pt idx="2">
                  <c:v>10.715193052376069</c:v>
                </c:pt>
                <c:pt idx="3">
                  <c:v>10.964781961431854</c:v>
                </c:pt>
                <c:pt idx="4">
                  <c:v>11.220184543019636</c:v>
                </c:pt>
                <c:pt idx="5">
                  <c:v>11.481536214968834</c:v>
                </c:pt>
                <c:pt idx="6">
                  <c:v>11.748975549395301</c:v>
                </c:pt>
                <c:pt idx="7">
                  <c:v>12.022644346174133</c:v>
                </c:pt>
                <c:pt idx="8">
                  <c:v>12.302687708123818</c:v>
                </c:pt>
                <c:pt idx="9">
                  <c:v>12.58925411794168</c:v>
                </c:pt>
                <c:pt idx="10">
                  <c:v>12.882495516931346</c:v>
                </c:pt>
                <c:pt idx="11">
                  <c:v>13.182567385564075</c:v>
                </c:pt>
                <c:pt idx="12">
                  <c:v>13.489628825916535</c:v>
                </c:pt>
                <c:pt idx="13">
                  <c:v>13.803842646028857</c:v>
                </c:pt>
                <c:pt idx="14">
                  <c:v>14.125375446227544</c:v>
                </c:pt>
                <c:pt idx="15">
                  <c:v>14.454397707459275</c:v>
                </c:pt>
                <c:pt idx="16">
                  <c:v>14.791083881682074</c:v>
                </c:pt>
                <c:pt idx="17">
                  <c:v>15.135612484362087</c:v>
                </c:pt>
                <c:pt idx="18">
                  <c:v>15.488166189124817</c:v>
                </c:pt>
                <c:pt idx="19">
                  <c:v>15.848931924611136</c:v>
                </c:pt>
                <c:pt idx="20">
                  <c:v>16.218100973589298</c:v>
                </c:pt>
                <c:pt idx="21">
                  <c:v>16.595869074375614</c:v>
                </c:pt>
                <c:pt idx="22">
                  <c:v>16.982436524617448</c:v>
                </c:pt>
                <c:pt idx="23">
                  <c:v>17.378008287493756</c:v>
                </c:pt>
                <c:pt idx="24">
                  <c:v>17.782794100389236</c:v>
                </c:pt>
                <c:pt idx="25">
                  <c:v>18.197008586099841</c:v>
                </c:pt>
                <c:pt idx="26">
                  <c:v>18.62087136662868</c:v>
                </c:pt>
                <c:pt idx="27">
                  <c:v>19.054607179632477</c:v>
                </c:pt>
                <c:pt idx="28">
                  <c:v>19.498445997580465</c:v>
                </c:pt>
                <c:pt idx="29">
                  <c:v>19.952623149688804</c:v>
                </c:pt>
                <c:pt idx="30">
                  <c:v>20.4173794466953</c:v>
                </c:pt>
                <c:pt idx="31">
                  <c:v>20.8929613085404</c:v>
                </c:pt>
                <c:pt idx="32">
                  <c:v>21.379620895022335</c:v>
                </c:pt>
                <c:pt idx="33">
                  <c:v>21.877616239495538</c:v>
                </c:pt>
                <c:pt idx="34">
                  <c:v>22.387211385683404</c:v>
                </c:pt>
                <c:pt idx="35">
                  <c:v>22.908676527677727</c:v>
                </c:pt>
                <c:pt idx="36">
                  <c:v>23.442288153199236</c:v>
                </c:pt>
                <c:pt idx="37">
                  <c:v>23.988329190194907</c:v>
                </c:pt>
                <c:pt idx="38">
                  <c:v>24.547089156850316</c:v>
                </c:pt>
                <c:pt idx="39">
                  <c:v>25.118864315095799</c:v>
                </c:pt>
                <c:pt idx="40">
                  <c:v>25.703957827688647</c:v>
                </c:pt>
                <c:pt idx="41">
                  <c:v>26.302679918953825</c:v>
                </c:pt>
                <c:pt idx="42">
                  <c:v>26.915348039269158</c:v>
                </c:pt>
                <c:pt idx="43">
                  <c:v>27.542287033381665</c:v>
                </c:pt>
                <c:pt idx="44">
                  <c:v>28.183829312644548</c:v>
                </c:pt>
                <c:pt idx="45">
                  <c:v>28.840315031266066</c:v>
                </c:pt>
                <c:pt idx="46">
                  <c:v>29.512092266663863</c:v>
                </c:pt>
                <c:pt idx="47">
                  <c:v>30.199517204020164</c:v>
                </c:pt>
                <c:pt idx="48">
                  <c:v>30.902954325135919</c:v>
                </c:pt>
                <c:pt idx="49">
                  <c:v>31.622776601683803</c:v>
                </c:pt>
                <c:pt idx="50">
                  <c:v>32.359365692962832</c:v>
                </c:pt>
                <c:pt idx="51">
                  <c:v>33.113112148259127</c:v>
                </c:pt>
                <c:pt idx="52">
                  <c:v>33.884415613920268</c:v>
                </c:pt>
                <c:pt idx="53">
                  <c:v>34.67368504525318</c:v>
                </c:pt>
                <c:pt idx="54">
                  <c:v>35.481338923357555</c:v>
                </c:pt>
                <c:pt idx="55">
                  <c:v>36.307805477010156</c:v>
                </c:pt>
                <c:pt idx="56">
                  <c:v>37.15352290971726</c:v>
                </c:pt>
                <c:pt idx="57">
                  <c:v>38.018939632056139</c:v>
                </c:pt>
                <c:pt idx="58">
                  <c:v>38.904514499428053</c:v>
                </c:pt>
                <c:pt idx="59">
                  <c:v>39.810717055349755</c:v>
                </c:pt>
                <c:pt idx="60">
                  <c:v>40.738027780411279</c:v>
                </c:pt>
                <c:pt idx="61">
                  <c:v>41.686938347033561</c:v>
                </c:pt>
                <c:pt idx="62">
                  <c:v>42.657951880159267</c:v>
                </c:pt>
                <c:pt idx="63">
                  <c:v>43.651583224016633</c:v>
                </c:pt>
                <c:pt idx="64">
                  <c:v>44.668359215096324</c:v>
                </c:pt>
                <c:pt idx="65">
                  <c:v>45.70881896148753</c:v>
                </c:pt>
                <c:pt idx="66">
                  <c:v>46.773514128719818</c:v>
                </c:pt>
                <c:pt idx="67">
                  <c:v>47.863009232263877</c:v>
                </c:pt>
                <c:pt idx="68">
                  <c:v>48.977881936844632</c:v>
                </c:pt>
                <c:pt idx="69">
                  <c:v>50.118723362727238</c:v>
                </c:pt>
                <c:pt idx="70">
                  <c:v>51.28613839913649</c:v>
                </c:pt>
                <c:pt idx="71">
                  <c:v>52.480746024977286</c:v>
                </c:pt>
                <c:pt idx="72">
                  <c:v>53.703179637025293</c:v>
                </c:pt>
                <c:pt idx="73">
                  <c:v>54.95408738576247</c:v>
                </c:pt>
                <c:pt idx="74">
                  <c:v>56.234132519034915</c:v>
                </c:pt>
                <c:pt idx="75">
                  <c:v>57.543993733715695</c:v>
                </c:pt>
                <c:pt idx="76">
                  <c:v>58.884365535558949</c:v>
                </c:pt>
                <c:pt idx="77">
                  <c:v>60.255958607435822</c:v>
                </c:pt>
                <c:pt idx="78">
                  <c:v>61.659500186148257</c:v>
                </c:pt>
                <c:pt idx="79">
                  <c:v>63.095734448019364</c:v>
                </c:pt>
                <c:pt idx="80">
                  <c:v>64.565422903465588</c:v>
                </c:pt>
                <c:pt idx="81">
                  <c:v>66.069344800759623</c:v>
                </c:pt>
                <c:pt idx="82">
                  <c:v>67.60829753919819</c:v>
                </c:pt>
                <c:pt idx="83">
                  <c:v>69.183097091893657</c:v>
                </c:pt>
                <c:pt idx="84">
                  <c:v>70.794578438413865</c:v>
                </c:pt>
                <c:pt idx="85">
                  <c:v>72.443596007499011</c:v>
                </c:pt>
                <c:pt idx="86">
                  <c:v>74.131024130091816</c:v>
                </c:pt>
                <c:pt idx="87">
                  <c:v>75.857757502918361</c:v>
                </c:pt>
                <c:pt idx="88">
                  <c:v>77.624711662869217</c:v>
                </c:pt>
                <c:pt idx="89">
                  <c:v>79.432823472428197</c:v>
                </c:pt>
                <c:pt idx="90">
                  <c:v>81.283051616409963</c:v>
                </c:pt>
                <c:pt idx="91">
                  <c:v>83.176377110267126</c:v>
                </c:pt>
                <c:pt idx="92">
                  <c:v>85.113803820237734</c:v>
                </c:pt>
                <c:pt idx="93">
                  <c:v>87.096358995608071</c:v>
                </c:pt>
                <c:pt idx="94">
                  <c:v>89.125093813374562</c:v>
                </c:pt>
                <c:pt idx="95">
                  <c:v>91.201083935590972</c:v>
                </c:pt>
                <c:pt idx="96">
                  <c:v>93.325430079699174</c:v>
                </c:pt>
                <c:pt idx="97">
                  <c:v>95.499258602143655</c:v>
                </c:pt>
                <c:pt idx="98">
                  <c:v>97.723722095581124</c:v>
                </c:pt>
                <c:pt idx="99">
                  <c:v>100</c:v>
                </c:pt>
                <c:pt idx="100">
                  <c:v>102.32929922807544</c:v>
                </c:pt>
                <c:pt idx="101">
                  <c:v>104.71285480508998</c:v>
                </c:pt>
                <c:pt idx="102">
                  <c:v>107.15193052376065</c:v>
                </c:pt>
                <c:pt idx="103">
                  <c:v>109.64781961431861</c:v>
                </c:pt>
                <c:pt idx="104">
                  <c:v>112.20184543019634</c:v>
                </c:pt>
                <c:pt idx="105">
                  <c:v>114.81536214968835</c:v>
                </c:pt>
                <c:pt idx="106">
                  <c:v>117.48975549395293</c:v>
                </c:pt>
                <c:pt idx="107">
                  <c:v>120.22644346174135</c:v>
                </c:pt>
                <c:pt idx="108">
                  <c:v>123.02687708123821</c:v>
                </c:pt>
                <c:pt idx="109">
                  <c:v>125.89254117941677</c:v>
                </c:pt>
                <c:pt idx="110">
                  <c:v>128.82495516931343</c:v>
                </c:pt>
                <c:pt idx="111">
                  <c:v>131.82567385564084</c:v>
                </c:pt>
                <c:pt idx="112">
                  <c:v>134.89628825916537</c:v>
                </c:pt>
                <c:pt idx="113">
                  <c:v>138.0384264602886</c:v>
                </c:pt>
                <c:pt idx="114">
                  <c:v>141.25375446227542</c:v>
                </c:pt>
                <c:pt idx="115">
                  <c:v>144.54397707459285</c:v>
                </c:pt>
                <c:pt idx="116">
                  <c:v>147.91083881682084</c:v>
                </c:pt>
                <c:pt idx="117">
                  <c:v>151.3561248436209</c:v>
                </c:pt>
                <c:pt idx="118">
                  <c:v>154.8816618912482</c:v>
                </c:pt>
                <c:pt idx="119">
                  <c:v>158.48931924611153</c:v>
                </c:pt>
                <c:pt idx="120">
                  <c:v>162.18100973589304</c:v>
                </c:pt>
                <c:pt idx="121">
                  <c:v>165.95869074375622</c:v>
                </c:pt>
                <c:pt idx="122">
                  <c:v>169.82436524617444</c:v>
                </c:pt>
                <c:pt idx="123">
                  <c:v>173.78008287493768</c:v>
                </c:pt>
                <c:pt idx="124">
                  <c:v>177.82794100389242</c:v>
                </c:pt>
                <c:pt idx="125">
                  <c:v>181.9700858609983</c:v>
                </c:pt>
                <c:pt idx="126">
                  <c:v>186.20871366628685</c:v>
                </c:pt>
                <c:pt idx="127">
                  <c:v>190.54607179632498</c:v>
                </c:pt>
                <c:pt idx="128">
                  <c:v>194.98445997580458</c:v>
                </c:pt>
                <c:pt idx="129">
                  <c:v>199.52623149688802</c:v>
                </c:pt>
                <c:pt idx="130">
                  <c:v>204.17379446695315</c:v>
                </c:pt>
                <c:pt idx="131">
                  <c:v>208.92961308540396</c:v>
                </c:pt>
                <c:pt idx="132">
                  <c:v>213.79620895022339</c:v>
                </c:pt>
                <c:pt idx="133">
                  <c:v>218.77616239495524</c:v>
                </c:pt>
                <c:pt idx="134">
                  <c:v>223.87211385683412</c:v>
                </c:pt>
                <c:pt idx="135">
                  <c:v>229.08676527677744</c:v>
                </c:pt>
                <c:pt idx="136">
                  <c:v>234.42288153199232</c:v>
                </c:pt>
                <c:pt idx="137">
                  <c:v>239.88329190194912</c:v>
                </c:pt>
                <c:pt idx="138">
                  <c:v>245.4708915685033</c:v>
                </c:pt>
                <c:pt idx="139">
                  <c:v>251.18864315095806</c:v>
                </c:pt>
                <c:pt idx="140">
                  <c:v>257.03957827688663</c:v>
                </c:pt>
                <c:pt idx="141">
                  <c:v>263.02679918953817</c:v>
                </c:pt>
                <c:pt idx="142">
                  <c:v>269.15348039269179</c:v>
                </c:pt>
                <c:pt idx="143">
                  <c:v>275.42287033381683</c:v>
                </c:pt>
                <c:pt idx="144">
                  <c:v>281.83829312644554</c:v>
                </c:pt>
                <c:pt idx="145">
                  <c:v>288.40315031266073</c:v>
                </c:pt>
                <c:pt idx="146">
                  <c:v>295.12092266663871</c:v>
                </c:pt>
                <c:pt idx="147">
                  <c:v>301.99517204020168</c:v>
                </c:pt>
                <c:pt idx="148">
                  <c:v>309.02954325135937</c:v>
                </c:pt>
                <c:pt idx="149">
                  <c:v>316.22776601683825</c:v>
                </c:pt>
                <c:pt idx="150">
                  <c:v>323.59365692962825</c:v>
                </c:pt>
                <c:pt idx="151">
                  <c:v>331.13112148259137</c:v>
                </c:pt>
                <c:pt idx="152">
                  <c:v>338.84415613920277</c:v>
                </c:pt>
                <c:pt idx="153">
                  <c:v>346.73685045253183</c:v>
                </c:pt>
                <c:pt idx="154">
                  <c:v>354.81338923357566</c:v>
                </c:pt>
                <c:pt idx="155">
                  <c:v>363.07805477010152</c:v>
                </c:pt>
                <c:pt idx="156">
                  <c:v>371.53522909717265</c:v>
                </c:pt>
                <c:pt idx="157">
                  <c:v>380.18939632056163</c:v>
                </c:pt>
                <c:pt idx="158">
                  <c:v>389.04514499428063</c:v>
                </c:pt>
                <c:pt idx="159">
                  <c:v>398.10717055349761</c:v>
                </c:pt>
                <c:pt idx="160">
                  <c:v>407.38027780411272</c:v>
                </c:pt>
                <c:pt idx="161">
                  <c:v>416.86938347033572</c:v>
                </c:pt>
                <c:pt idx="162">
                  <c:v>426.57951880159294</c:v>
                </c:pt>
                <c:pt idx="163">
                  <c:v>436.51583224016622</c:v>
                </c:pt>
                <c:pt idx="164">
                  <c:v>446.68359215096331</c:v>
                </c:pt>
                <c:pt idx="165">
                  <c:v>457.0881896148756</c:v>
                </c:pt>
                <c:pt idx="166">
                  <c:v>467.7351412871983</c:v>
                </c:pt>
                <c:pt idx="167">
                  <c:v>478.63009232263886</c:v>
                </c:pt>
                <c:pt idx="168">
                  <c:v>489.77881936844625</c:v>
                </c:pt>
                <c:pt idx="169">
                  <c:v>501.18723362727269</c:v>
                </c:pt>
                <c:pt idx="170">
                  <c:v>512.86138399136519</c:v>
                </c:pt>
                <c:pt idx="171">
                  <c:v>524.80746024977248</c:v>
                </c:pt>
                <c:pt idx="172">
                  <c:v>537.03179637025301</c:v>
                </c:pt>
                <c:pt idx="173">
                  <c:v>549.54087385762534</c:v>
                </c:pt>
                <c:pt idx="174">
                  <c:v>562.34132519034927</c:v>
                </c:pt>
                <c:pt idx="175">
                  <c:v>575.43993733715706</c:v>
                </c:pt>
                <c:pt idx="176">
                  <c:v>588.84365535558959</c:v>
                </c:pt>
                <c:pt idx="177">
                  <c:v>602.55958607435832</c:v>
                </c:pt>
                <c:pt idx="178">
                  <c:v>616.59500186148273</c:v>
                </c:pt>
                <c:pt idx="179">
                  <c:v>630.95734448019323</c:v>
                </c:pt>
                <c:pt idx="180">
                  <c:v>645.65422903465594</c:v>
                </c:pt>
                <c:pt idx="181">
                  <c:v>660.69344800759643</c:v>
                </c:pt>
                <c:pt idx="182">
                  <c:v>676.08297539198213</c:v>
                </c:pt>
                <c:pt idx="183">
                  <c:v>691.83097091893671</c:v>
                </c:pt>
                <c:pt idx="184">
                  <c:v>707.94578438413873</c:v>
                </c:pt>
                <c:pt idx="185">
                  <c:v>724.43596007499025</c:v>
                </c:pt>
                <c:pt idx="186">
                  <c:v>741.31024130091828</c:v>
                </c:pt>
                <c:pt idx="187">
                  <c:v>758.57757502918378</c:v>
                </c:pt>
                <c:pt idx="188">
                  <c:v>776.24711662869231</c:v>
                </c:pt>
                <c:pt idx="189">
                  <c:v>794.32823472428208</c:v>
                </c:pt>
                <c:pt idx="190">
                  <c:v>812.83051616409978</c:v>
                </c:pt>
                <c:pt idx="191">
                  <c:v>831.7637711026714</c:v>
                </c:pt>
                <c:pt idx="192">
                  <c:v>851.13803820237763</c:v>
                </c:pt>
                <c:pt idx="193">
                  <c:v>870.96358995608091</c:v>
                </c:pt>
                <c:pt idx="194">
                  <c:v>891.25093813374656</c:v>
                </c:pt>
                <c:pt idx="195">
                  <c:v>912.01083935590987</c:v>
                </c:pt>
                <c:pt idx="196">
                  <c:v>933.25430079699106</c:v>
                </c:pt>
                <c:pt idx="197">
                  <c:v>954.99258602143675</c:v>
                </c:pt>
                <c:pt idx="198">
                  <c:v>977.23722095581138</c:v>
                </c:pt>
                <c:pt idx="199">
                  <c:v>1000</c:v>
                </c:pt>
                <c:pt idx="200">
                  <c:v>1023.2929922807547</c:v>
                </c:pt>
                <c:pt idx="201">
                  <c:v>1047.1285480509</c:v>
                </c:pt>
                <c:pt idx="202">
                  <c:v>1071.5193052376069</c:v>
                </c:pt>
                <c:pt idx="203">
                  <c:v>1096.4781961431863</c:v>
                </c:pt>
                <c:pt idx="204">
                  <c:v>1122.0184543019636</c:v>
                </c:pt>
                <c:pt idx="205">
                  <c:v>1148.1536214968839</c:v>
                </c:pt>
                <c:pt idx="206">
                  <c:v>1174.8975549395295</c:v>
                </c:pt>
                <c:pt idx="207">
                  <c:v>1202.2644346174138</c:v>
                </c:pt>
                <c:pt idx="208">
                  <c:v>1230.2687708123824</c:v>
                </c:pt>
                <c:pt idx="209">
                  <c:v>1258.925411794168</c:v>
                </c:pt>
                <c:pt idx="210">
                  <c:v>1288.2495516931347</c:v>
                </c:pt>
                <c:pt idx="211">
                  <c:v>1318.2567385564089</c:v>
                </c:pt>
                <c:pt idx="212">
                  <c:v>1348.9628825916541</c:v>
                </c:pt>
                <c:pt idx="213">
                  <c:v>1380.3842646028863</c:v>
                </c:pt>
                <c:pt idx="214">
                  <c:v>1412.5375446227545</c:v>
                </c:pt>
                <c:pt idx="215">
                  <c:v>1445.4397707459289</c:v>
                </c:pt>
                <c:pt idx="216">
                  <c:v>1479.1083881682086</c:v>
                </c:pt>
                <c:pt idx="217">
                  <c:v>1513.5612484362093</c:v>
                </c:pt>
                <c:pt idx="218">
                  <c:v>1548.8166189124822</c:v>
                </c:pt>
                <c:pt idx="219">
                  <c:v>1584.8931924611156</c:v>
                </c:pt>
                <c:pt idx="220">
                  <c:v>1621.8100973589308</c:v>
                </c:pt>
                <c:pt idx="221">
                  <c:v>1659.5869074375626</c:v>
                </c:pt>
                <c:pt idx="222">
                  <c:v>1698.2436524617447</c:v>
                </c:pt>
                <c:pt idx="223">
                  <c:v>1737.8008287493772</c:v>
                </c:pt>
                <c:pt idx="224">
                  <c:v>1778.2794100389244</c:v>
                </c:pt>
                <c:pt idx="225">
                  <c:v>1819.7008586099832</c:v>
                </c:pt>
                <c:pt idx="226">
                  <c:v>1862.0871366628687</c:v>
                </c:pt>
                <c:pt idx="227">
                  <c:v>1905.4607179632501</c:v>
                </c:pt>
                <c:pt idx="228">
                  <c:v>1949.8445997580463</c:v>
                </c:pt>
                <c:pt idx="229">
                  <c:v>1995.2623149688804</c:v>
                </c:pt>
                <c:pt idx="230">
                  <c:v>2041.7379446695318</c:v>
                </c:pt>
                <c:pt idx="231">
                  <c:v>2089.2961308540398</c:v>
                </c:pt>
                <c:pt idx="232">
                  <c:v>2137.9620895022344</c:v>
                </c:pt>
                <c:pt idx="233">
                  <c:v>2187.7616239495528</c:v>
                </c:pt>
                <c:pt idx="234">
                  <c:v>2238.7211385683418</c:v>
                </c:pt>
                <c:pt idx="235">
                  <c:v>2290.8676527677749</c:v>
                </c:pt>
                <c:pt idx="236">
                  <c:v>2344.2288153199238</c:v>
                </c:pt>
                <c:pt idx="237">
                  <c:v>2398.8329190194918</c:v>
                </c:pt>
                <c:pt idx="238">
                  <c:v>2454.7089156850338</c:v>
                </c:pt>
                <c:pt idx="239">
                  <c:v>2511.8864315095811</c:v>
                </c:pt>
                <c:pt idx="240">
                  <c:v>2570.3957827688669</c:v>
                </c:pt>
                <c:pt idx="241">
                  <c:v>2630.2679918953822</c:v>
                </c:pt>
                <c:pt idx="242">
                  <c:v>2691.5348039269184</c:v>
                </c:pt>
                <c:pt idx="243">
                  <c:v>2754.228703338169</c:v>
                </c:pt>
                <c:pt idx="244">
                  <c:v>2818.3829312644561</c:v>
                </c:pt>
                <c:pt idx="245">
                  <c:v>2884.0315031266077</c:v>
                </c:pt>
                <c:pt idx="246">
                  <c:v>2951.2092266663876</c:v>
                </c:pt>
                <c:pt idx="247">
                  <c:v>3019.9517204020176</c:v>
                </c:pt>
                <c:pt idx="248">
                  <c:v>3090.295432513592</c:v>
                </c:pt>
                <c:pt idx="249">
                  <c:v>3162.2776601683804</c:v>
                </c:pt>
                <c:pt idx="250">
                  <c:v>3235.9365692962833</c:v>
                </c:pt>
                <c:pt idx="251">
                  <c:v>3311.3112148259115</c:v>
                </c:pt>
                <c:pt idx="252">
                  <c:v>3388.4415613920314</c:v>
                </c:pt>
                <c:pt idx="253">
                  <c:v>3467.3685045253224</c:v>
                </c:pt>
                <c:pt idx="254">
                  <c:v>3548.1338923357539</c:v>
                </c:pt>
                <c:pt idx="255">
                  <c:v>3630.7805477010188</c:v>
                </c:pt>
                <c:pt idx="256">
                  <c:v>3715.352290971724</c:v>
                </c:pt>
                <c:pt idx="257">
                  <c:v>3801.8939632056172</c:v>
                </c:pt>
                <c:pt idx="258">
                  <c:v>3890.451449942811</c:v>
                </c:pt>
                <c:pt idx="259">
                  <c:v>3981.0717055349769</c:v>
                </c:pt>
                <c:pt idx="260">
                  <c:v>4073.8027780411317</c:v>
                </c:pt>
                <c:pt idx="261">
                  <c:v>4168.6938347033583</c:v>
                </c:pt>
                <c:pt idx="262">
                  <c:v>4265.7951880159299</c:v>
                </c:pt>
                <c:pt idx="263">
                  <c:v>4365.1583224016631</c:v>
                </c:pt>
                <c:pt idx="264">
                  <c:v>4466.8359215096343</c:v>
                </c:pt>
                <c:pt idx="265">
                  <c:v>4570.8818961487532</c:v>
                </c:pt>
                <c:pt idx="266">
                  <c:v>4677.3514128719844</c:v>
                </c:pt>
                <c:pt idx="267">
                  <c:v>4786.3009232263848</c:v>
                </c:pt>
                <c:pt idx="268">
                  <c:v>4897.7881936844633</c:v>
                </c:pt>
                <c:pt idx="269">
                  <c:v>5011.8723362727324</c:v>
                </c:pt>
                <c:pt idx="270">
                  <c:v>5128.6138399136489</c:v>
                </c:pt>
                <c:pt idx="271">
                  <c:v>5248.0746024977261</c:v>
                </c:pt>
                <c:pt idx="272">
                  <c:v>5370.3179637025269</c:v>
                </c:pt>
                <c:pt idx="273">
                  <c:v>5495.4087385762541</c:v>
                </c:pt>
                <c:pt idx="274">
                  <c:v>5623.4132519034993</c:v>
                </c:pt>
                <c:pt idx="275">
                  <c:v>5754.399373371567</c:v>
                </c:pt>
                <c:pt idx="276">
                  <c:v>5888.4365535558973</c:v>
                </c:pt>
                <c:pt idx="277">
                  <c:v>6025.595860743585</c:v>
                </c:pt>
                <c:pt idx="278">
                  <c:v>6165.9500186148289</c:v>
                </c:pt>
                <c:pt idx="279">
                  <c:v>6309.5734448019384</c:v>
                </c:pt>
                <c:pt idx="280">
                  <c:v>6456.5422903465615</c:v>
                </c:pt>
                <c:pt idx="281">
                  <c:v>6606.9344800759654</c:v>
                </c:pt>
                <c:pt idx="282">
                  <c:v>6760.8297539198229</c:v>
                </c:pt>
                <c:pt idx="283">
                  <c:v>6918.3097091893687</c:v>
                </c:pt>
                <c:pt idx="284">
                  <c:v>7079.4578438413828</c:v>
                </c:pt>
                <c:pt idx="285">
                  <c:v>7244.3596007499036</c:v>
                </c:pt>
                <c:pt idx="286">
                  <c:v>7413.1024130091773</c:v>
                </c:pt>
                <c:pt idx="287">
                  <c:v>7585.7757502918394</c:v>
                </c:pt>
                <c:pt idx="288">
                  <c:v>7762.4711662869322</c:v>
                </c:pt>
                <c:pt idx="289">
                  <c:v>7943.2823472428154</c:v>
                </c:pt>
                <c:pt idx="290">
                  <c:v>8128.3051616410066</c:v>
                </c:pt>
                <c:pt idx="291">
                  <c:v>8317.6377110267094</c:v>
                </c:pt>
                <c:pt idx="292">
                  <c:v>8511.3803820237772</c:v>
                </c:pt>
                <c:pt idx="293">
                  <c:v>8709.6358995608189</c:v>
                </c:pt>
                <c:pt idx="294">
                  <c:v>8912.5093813374679</c:v>
                </c:pt>
                <c:pt idx="295">
                  <c:v>9120.1083935591087</c:v>
                </c:pt>
                <c:pt idx="296">
                  <c:v>9332.5430079699217</c:v>
                </c:pt>
                <c:pt idx="297">
                  <c:v>9549.9258602143691</c:v>
                </c:pt>
                <c:pt idx="298">
                  <c:v>9772.3722095581161</c:v>
                </c:pt>
                <c:pt idx="299">
                  <c:v>10000</c:v>
                </c:pt>
                <c:pt idx="300">
                  <c:v>10232.929922807549</c:v>
                </c:pt>
                <c:pt idx="301">
                  <c:v>10471.285480509003</c:v>
                </c:pt>
                <c:pt idx="302">
                  <c:v>10715.193052376071</c:v>
                </c:pt>
                <c:pt idx="303">
                  <c:v>10964.781961431856</c:v>
                </c:pt>
                <c:pt idx="304">
                  <c:v>11220.184543019639</c:v>
                </c:pt>
                <c:pt idx="305">
                  <c:v>11481.536214968832</c:v>
                </c:pt>
                <c:pt idx="306">
                  <c:v>11748.975549395318</c:v>
                </c:pt>
                <c:pt idx="307">
                  <c:v>12022.644346174151</c:v>
                </c:pt>
                <c:pt idx="308">
                  <c:v>12302.687708123816</c:v>
                </c:pt>
                <c:pt idx="309">
                  <c:v>12589.254117941671</c:v>
                </c:pt>
                <c:pt idx="310">
                  <c:v>12882.49551693136</c:v>
                </c:pt>
                <c:pt idx="311">
                  <c:v>13182.567385564091</c:v>
                </c:pt>
                <c:pt idx="312">
                  <c:v>13489.628825916556</c:v>
                </c:pt>
                <c:pt idx="313">
                  <c:v>13803.842646028841</c:v>
                </c:pt>
                <c:pt idx="314">
                  <c:v>14125.375446227561</c:v>
                </c:pt>
                <c:pt idx="315">
                  <c:v>14454.397707459291</c:v>
                </c:pt>
                <c:pt idx="316">
                  <c:v>14791.083881682089</c:v>
                </c:pt>
                <c:pt idx="317">
                  <c:v>15135.612484362096</c:v>
                </c:pt>
                <c:pt idx="318">
                  <c:v>15488.166189124853</c:v>
                </c:pt>
                <c:pt idx="319">
                  <c:v>15848.931924611146</c:v>
                </c:pt>
                <c:pt idx="320">
                  <c:v>16218.100973589309</c:v>
                </c:pt>
                <c:pt idx="321">
                  <c:v>16595.869074375616</c:v>
                </c:pt>
                <c:pt idx="322">
                  <c:v>16982.436524617482</c:v>
                </c:pt>
                <c:pt idx="323">
                  <c:v>17378.008287493791</c:v>
                </c:pt>
                <c:pt idx="324">
                  <c:v>17782.794100389234</c:v>
                </c:pt>
                <c:pt idx="325">
                  <c:v>18197.008586099837</c:v>
                </c:pt>
                <c:pt idx="326">
                  <c:v>18620.871366628675</c:v>
                </c:pt>
                <c:pt idx="327">
                  <c:v>19054.607179632505</c:v>
                </c:pt>
                <c:pt idx="328">
                  <c:v>19498.445997580486</c:v>
                </c:pt>
                <c:pt idx="329">
                  <c:v>19952.623149688792</c:v>
                </c:pt>
                <c:pt idx="330">
                  <c:v>20417.379446695286</c:v>
                </c:pt>
                <c:pt idx="331">
                  <c:v>20892.961308540423</c:v>
                </c:pt>
                <c:pt idx="332">
                  <c:v>21379.620895022348</c:v>
                </c:pt>
                <c:pt idx="333">
                  <c:v>21877.61623949555</c:v>
                </c:pt>
                <c:pt idx="334">
                  <c:v>22387.211385683382</c:v>
                </c:pt>
                <c:pt idx="335">
                  <c:v>22908.676527677751</c:v>
                </c:pt>
                <c:pt idx="336">
                  <c:v>23442.288153199243</c:v>
                </c:pt>
                <c:pt idx="337">
                  <c:v>23988.329190194923</c:v>
                </c:pt>
                <c:pt idx="338">
                  <c:v>24547.089156850321</c:v>
                </c:pt>
                <c:pt idx="339">
                  <c:v>25118.86431509586</c:v>
                </c:pt>
                <c:pt idx="340">
                  <c:v>25703.95782768865</c:v>
                </c:pt>
                <c:pt idx="341">
                  <c:v>26302.679918953829</c:v>
                </c:pt>
                <c:pt idx="342">
                  <c:v>26915.348039269167</c:v>
                </c:pt>
                <c:pt idx="343">
                  <c:v>27542.287033381719</c:v>
                </c:pt>
                <c:pt idx="344">
                  <c:v>28183.829312644593</c:v>
                </c:pt>
                <c:pt idx="345">
                  <c:v>28840.315031266062</c:v>
                </c:pt>
                <c:pt idx="346">
                  <c:v>29512.092266663854</c:v>
                </c:pt>
                <c:pt idx="347">
                  <c:v>30199.517204020212</c:v>
                </c:pt>
                <c:pt idx="348">
                  <c:v>30902.954325135954</c:v>
                </c:pt>
                <c:pt idx="349">
                  <c:v>31622.77660168384</c:v>
                </c:pt>
                <c:pt idx="350">
                  <c:v>32359.365692962871</c:v>
                </c:pt>
                <c:pt idx="351">
                  <c:v>33113.11214825909</c:v>
                </c:pt>
                <c:pt idx="352">
                  <c:v>33884.41561392029</c:v>
                </c:pt>
                <c:pt idx="353">
                  <c:v>34673.685045253202</c:v>
                </c:pt>
                <c:pt idx="354">
                  <c:v>35481.33892335758</c:v>
                </c:pt>
                <c:pt idx="355">
                  <c:v>36307.805477010232</c:v>
                </c:pt>
                <c:pt idx="356">
                  <c:v>37153.522909717351</c:v>
                </c:pt>
                <c:pt idx="357">
                  <c:v>38018.939632056143</c:v>
                </c:pt>
                <c:pt idx="358">
                  <c:v>38904.514499428085</c:v>
                </c:pt>
                <c:pt idx="359">
                  <c:v>39810.717055349742</c:v>
                </c:pt>
                <c:pt idx="360">
                  <c:v>40738.027780411358</c:v>
                </c:pt>
                <c:pt idx="361">
                  <c:v>41686.938347033625</c:v>
                </c:pt>
                <c:pt idx="362">
                  <c:v>42657.951880159271</c:v>
                </c:pt>
                <c:pt idx="363">
                  <c:v>43651.583224016598</c:v>
                </c:pt>
                <c:pt idx="364">
                  <c:v>44668.359215096389</c:v>
                </c:pt>
                <c:pt idx="365">
                  <c:v>45708.818961487581</c:v>
                </c:pt>
                <c:pt idx="366">
                  <c:v>46773.514128719893</c:v>
                </c:pt>
                <c:pt idx="367">
                  <c:v>47863.009232263823</c:v>
                </c:pt>
                <c:pt idx="368">
                  <c:v>48977.881936844598</c:v>
                </c:pt>
                <c:pt idx="369">
                  <c:v>50118.723362727294</c:v>
                </c:pt>
                <c:pt idx="370">
                  <c:v>51286.138399136544</c:v>
                </c:pt>
                <c:pt idx="371">
                  <c:v>52480.746024977314</c:v>
                </c:pt>
                <c:pt idx="372">
                  <c:v>53703.179637025423</c:v>
                </c:pt>
                <c:pt idx="373">
                  <c:v>54954.087385762505</c:v>
                </c:pt>
                <c:pt idx="374">
                  <c:v>56234.132519034953</c:v>
                </c:pt>
                <c:pt idx="375">
                  <c:v>57543.993733715732</c:v>
                </c:pt>
                <c:pt idx="376">
                  <c:v>58884.365535558936</c:v>
                </c:pt>
                <c:pt idx="377">
                  <c:v>60255.95860743591</c:v>
                </c:pt>
                <c:pt idx="378">
                  <c:v>61659.500186148245</c:v>
                </c:pt>
                <c:pt idx="379">
                  <c:v>63095.734448019342</c:v>
                </c:pt>
                <c:pt idx="380">
                  <c:v>64565.422903465682</c:v>
                </c:pt>
                <c:pt idx="381">
                  <c:v>66069.344800759733</c:v>
                </c:pt>
                <c:pt idx="382">
                  <c:v>67608.297539198305</c:v>
                </c:pt>
                <c:pt idx="383">
                  <c:v>69183.097091893651</c:v>
                </c:pt>
                <c:pt idx="384">
                  <c:v>70794.578438413781</c:v>
                </c:pt>
                <c:pt idx="385">
                  <c:v>72443.596007499116</c:v>
                </c:pt>
                <c:pt idx="386">
                  <c:v>74131.024130091857</c:v>
                </c:pt>
                <c:pt idx="387">
                  <c:v>75857.757502918481</c:v>
                </c:pt>
                <c:pt idx="388">
                  <c:v>77624.711662869129</c:v>
                </c:pt>
                <c:pt idx="389">
                  <c:v>79432.823472428237</c:v>
                </c:pt>
                <c:pt idx="390">
                  <c:v>81283.051616410012</c:v>
                </c:pt>
                <c:pt idx="391">
                  <c:v>83176.377110267174</c:v>
                </c:pt>
                <c:pt idx="392">
                  <c:v>85113.803820237721</c:v>
                </c:pt>
                <c:pt idx="393">
                  <c:v>87096.358995608127</c:v>
                </c:pt>
                <c:pt idx="394">
                  <c:v>89125.093813374609</c:v>
                </c:pt>
                <c:pt idx="395">
                  <c:v>91201.083935591028</c:v>
                </c:pt>
                <c:pt idx="396">
                  <c:v>93325.430079699145</c:v>
                </c:pt>
                <c:pt idx="397">
                  <c:v>95499.258602143804</c:v>
                </c:pt>
                <c:pt idx="398">
                  <c:v>97723.722095581266</c:v>
                </c:pt>
                <c:pt idx="399">
                  <c:v>100000</c:v>
                </c:pt>
                <c:pt idx="400">
                  <c:v>102329.29922807543</c:v>
                </c:pt>
                <c:pt idx="401">
                  <c:v>104712.85480508996</c:v>
                </c:pt>
                <c:pt idx="402">
                  <c:v>107151.93052376082</c:v>
                </c:pt>
                <c:pt idx="403">
                  <c:v>109647.81961431868</c:v>
                </c:pt>
                <c:pt idx="404">
                  <c:v>112201.84543019651</c:v>
                </c:pt>
                <c:pt idx="405">
                  <c:v>114815.36214968823</c:v>
                </c:pt>
                <c:pt idx="406">
                  <c:v>117489.75549395311</c:v>
                </c:pt>
                <c:pt idx="407">
                  <c:v>120226.44346174144</c:v>
                </c:pt>
                <c:pt idx="408">
                  <c:v>123026.87708123829</c:v>
                </c:pt>
                <c:pt idx="409">
                  <c:v>125892.54117941685</c:v>
                </c:pt>
                <c:pt idx="410">
                  <c:v>128824.95516931375</c:v>
                </c:pt>
                <c:pt idx="411">
                  <c:v>131825.67385564081</c:v>
                </c:pt>
                <c:pt idx="412">
                  <c:v>134896.28825916545</c:v>
                </c:pt>
                <c:pt idx="413">
                  <c:v>138038.42646028858</c:v>
                </c:pt>
                <c:pt idx="414">
                  <c:v>141253.75446227577</c:v>
                </c:pt>
                <c:pt idx="415">
                  <c:v>144543.97707459307</c:v>
                </c:pt>
                <c:pt idx="416">
                  <c:v>147910.83881682079</c:v>
                </c:pt>
                <c:pt idx="417">
                  <c:v>151356.12484362084</c:v>
                </c:pt>
                <c:pt idx="418">
                  <c:v>154881.66189124843</c:v>
                </c:pt>
                <c:pt idx="419">
                  <c:v>158489.31924611164</c:v>
                </c:pt>
                <c:pt idx="420">
                  <c:v>162181.00973589328</c:v>
                </c:pt>
                <c:pt idx="421">
                  <c:v>165958.69074375604</c:v>
                </c:pt>
                <c:pt idx="422">
                  <c:v>169824.36524617471</c:v>
                </c:pt>
                <c:pt idx="423">
                  <c:v>173780.0828749378</c:v>
                </c:pt>
                <c:pt idx="424">
                  <c:v>177827.94100389251</c:v>
                </c:pt>
                <c:pt idx="425">
                  <c:v>181970.08586099857</c:v>
                </c:pt>
                <c:pt idx="426">
                  <c:v>186208.71366628664</c:v>
                </c:pt>
                <c:pt idx="427">
                  <c:v>190546.07179632492</c:v>
                </c:pt>
                <c:pt idx="428">
                  <c:v>194984.45997580473</c:v>
                </c:pt>
                <c:pt idx="429">
                  <c:v>199526.23149688813</c:v>
                </c:pt>
                <c:pt idx="430">
                  <c:v>204173.79446695308</c:v>
                </c:pt>
                <c:pt idx="431">
                  <c:v>208929.61308540447</c:v>
                </c:pt>
                <c:pt idx="432">
                  <c:v>213796.20895022334</c:v>
                </c:pt>
                <c:pt idx="433">
                  <c:v>218776.16239495538</c:v>
                </c:pt>
                <c:pt idx="434">
                  <c:v>223872.11385683404</c:v>
                </c:pt>
                <c:pt idx="435">
                  <c:v>229086.76527677779</c:v>
                </c:pt>
                <c:pt idx="436">
                  <c:v>234422.88153199267</c:v>
                </c:pt>
                <c:pt idx="437">
                  <c:v>239883.29190194907</c:v>
                </c:pt>
                <c:pt idx="438">
                  <c:v>245470.89156850305</c:v>
                </c:pt>
                <c:pt idx="439">
                  <c:v>251188.64315095844</c:v>
                </c:pt>
                <c:pt idx="440">
                  <c:v>257039.57827688678</c:v>
                </c:pt>
                <c:pt idx="441">
                  <c:v>263026.79918953858</c:v>
                </c:pt>
                <c:pt idx="442">
                  <c:v>269153.48039269145</c:v>
                </c:pt>
                <c:pt idx="443">
                  <c:v>275422.87033381703</c:v>
                </c:pt>
                <c:pt idx="444">
                  <c:v>281838.29312644573</c:v>
                </c:pt>
                <c:pt idx="445">
                  <c:v>288403.1503126609</c:v>
                </c:pt>
                <c:pt idx="446">
                  <c:v>295120.92266663886</c:v>
                </c:pt>
                <c:pt idx="447">
                  <c:v>301995.17204020242</c:v>
                </c:pt>
                <c:pt idx="448">
                  <c:v>309029.54325135931</c:v>
                </c:pt>
                <c:pt idx="449">
                  <c:v>316227.7660168382</c:v>
                </c:pt>
                <c:pt idx="450">
                  <c:v>323593.65692962846</c:v>
                </c:pt>
                <c:pt idx="451">
                  <c:v>331131.12148259126</c:v>
                </c:pt>
                <c:pt idx="452">
                  <c:v>338844.15613920329</c:v>
                </c:pt>
                <c:pt idx="453">
                  <c:v>346736.85045253241</c:v>
                </c:pt>
                <c:pt idx="454">
                  <c:v>354813.38923357555</c:v>
                </c:pt>
                <c:pt idx="455">
                  <c:v>363078.05477010203</c:v>
                </c:pt>
                <c:pt idx="456">
                  <c:v>371535.2290971732</c:v>
                </c:pt>
                <c:pt idx="457">
                  <c:v>380189.39632056188</c:v>
                </c:pt>
                <c:pt idx="458">
                  <c:v>389045.14499428123</c:v>
                </c:pt>
                <c:pt idx="459">
                  <c:v>398107.17055349716</c:v>
                </c:pt>
                <c:pt idx="460">
                  <c:v>407380.27780411334</c:v>
                </c:pt>
                <c:pt idx="461">
                  <c:v>416869.38347033598</c:v>
                </c:pt>
                <c:pt idx="462">
                  <c:v>426579.51880159322</c:v>
                </c:pt>
                <c:pt idx="463">
                  <c:v>436515.83224016649</c:v>
                </c:pt>
                <c:pt idx="464">
                  <c:v>446683.59215096442</c:v>
                </c:pt>
                <c:pt idx="465">
                  <c:v>457088.18961487547</c:v>
                </c:pt>
                <c:pt idx="466">
                  <c:v>467735.14128719864</c:v>
                </c:pt>
                <c:pt idx="467">
                  <c:v>478630.09232263872</c:v>
                </c:pt>
                <c:pt idx="468">
                  <c:v>489778.81936844654</c:v>
                </c:pt>
                <c:pt idx="469">
                  <c:v>501187.23362727347</c:v>
                </c:pt>
                <c:pt idx="470">
                  <c:v>512861.38399136515</c:v>
                </c:pt>
                <c:pt idx="471">
                  <c:v>524807.46024977288</c:v>
                </c:pt>
                <c:pt idx="472">
                  <c:v>537031.7963702539</c:v>
                </c:pt>
                <c:pt idx="473">
                  <c:v>549540.87385762564</c:v>
                </c:pt>
                <c:pt idx="474">
                  <c:v>562341.32519035018</c:v>
                </c:pt>
                <c:pt idx="475">
                  <c:v>575439.93733715697</c:v>
                </c:pt>
                <c:pt idx="476">
                  <c:v>588843.65535558888</c:v>
                </c:pt>
                <c:pt idx="477">
                  <c:v>602559.58607435878</c:v>
                </c:pt>
                <c:pt idx="478">
                  <c:v>616595.00186148309</c:v>
                </c:pt>
                <c:pt idx="479">
                  <c:v>630957.34448019415</c:v>
                </c:pt>
                <c:pt idx="480">
                  <c:v>645654.22903465747</c:v>
                </c:pt>
                <c:pt idx="481">
                  <c:v>660693.44800759677</c:v>
                </c:pt>
                <c:pt idx="482">
                  <c:v>676082.97539198259</c:v>
                </c:pt>
                <c:pt idx="483">
                  <c:v>691830.97091893724</c:v>
                </c:pt>
                <c:pt idx="484">
                  <c:v>707945.78438413853</c:v>
                </c:pt>
                <c:pt idx="485">
                  <c:v>724435.96007499192</c:v>
                </c:pt>
                <c:pt idx="486">
                  <c:v>741310.24130091805</c:v>
                </c:pt>
                <c:pt idx="487">
                  <c:v>758577.57502918423</c:v>
                </c:pt>
                <c:pt idx="488">
                  <c:v>776247.11662869214</c:v>
                </c:pt>
                <c:pt idx="489">
                  <c:v>794328.23472428333</c:v>
                </c:pt>
                <c:pt idx="490">
                  <c:v>812830.51616410096</c:v>
                </c:pt>
                <c:pt idx="491">
                  <c:v>831763.77110267128</c:v>
                </c:pt>
                <c:pt idx="492">
                  <c:v>851138.03820237669</c:v>
                </c:pt>
                <c:pt idx="493">
                  <c:v>870963.58995608077</c:v>
                </c:pt>
                <c:pt idx="494">
                  <c:v>891250.93813374708</c:v>
                </c:pt>
                <c:pt idx="495">
                  <c:v>912010.83935591124</c:v>
                </c:pt>
                <c:pt idx="496">
                  <c:v>933254.30079699249</c:v>
                </c:pt>
                <c:pt idx="497">
                  <c:v>954992.58602143743</c:v>
                </c:pt>
                <c:pt idx="498">
                  <c:v>977237.22095581202</c:v>
                </c:pt>
                <c:pt idx="499">
                  <c:v>1000000</c:v>
                </c:pt>
                <c:pt idx="500">
                  <c:v>1023292.9922807553</c:v>
                </c:pt>
                <c:pt idx="501">
                  <c:v>1047128.5480509007</c:v>
                </c:pt>
                <c:pt idx="502">
                  <c:v>1071519.3052376076</c:v>
                </c:pt>
                <c:pt idx="503">
                  <c:v>1096478.196143186</c:v>
                </c:pt>
                <c:pt idx="504">
                  <c:v>1122018.4543019643</c:v>
                </c:pt>
                <c:pt idx="505">
                  <c:v>1148153.6214968837</c:v>
                </c:pt>
                <c:pt idx="506">
                  <c:v>1174897.5549395324</c:v>
                </c:pt>
                <c:pt idx="507">
                  <c:v>1202264.4346174158</c:v>
                </c:pt>
                <c:pt idx="508">
                  <c:v>1230268.770812382</c:v>
                </c:pt>
                <c:pt idx="509">
                  <c:v>1258925.4117941677</c:v>
                </c:pt>
                <c:pt idx="510">
                  <c:v>1288249.5516931366</c:v>
                </c:pt>
                <c:pt idx="511">
                  <c:v>1318256.7385564097</c:v>
                </c:pt>
                <c:pt idx="512">
                  <c:v>1348962.8825916562</c:v>
                </c:pt>
                <c:pt idx="513">
                  <c:v>1380384.2646028849</c:v>
                </c:pt>
                <c:pt idx="514">
                  <c:v>1412537.5446227565</c:v>
                </c:pt>
                <c:pt idx="515">
                  <c:v>1445439.7707459298</c:v>
                </c:pt>
                <c:pt idx="516">
                  <c:v>1479108.3881682095</c:v>
                </c:pt>
                <c:pt idx="517">
                  <c:v>1513561.2484362102</c:v>
                </c:pt>
                <c:pt idx="518">
                  <c:v>1548816.6189124861</c:v>
                </c:pt>
                <c:pt idx="519">
                  <c:v>1584893.1924611153</c:v>
                </c:pt>
                <c:pt idx="520">
                  <c:v>1621810.0973589318</c:v>
                </c:pt>
                <c:pt idx="521">
                  <c:v>1659586.9074375622</c:v>
                </c:pt>
                <c:pt idx="522">
                  <c:v>1698243.6524617488</c:v>
                </c:pt>
                <c:pt idx="523">
                  <c:v>1737800.8287493798</c:v>
                </c:pt>
                <c:pt idx="524">
                  <c:v>1778279.4100389241</c:v>
                </c:pt>
                <c:pt idx="525">
                  <c:v>1819700.8586099846</c:v>
                </c:pt>
                <c:pt idx="526">
                  <c:v>1862087.1366628683</c:v>
                </c:pt>
                <c:pt idx="527">
                  <c:v>1905460.7179632513</c:v>
                </c:pt>
                <c:pt idx="528">
                  <c:v>1949844.5997580495</c:v>
                </c:pt>
                <c:pt idx="529">
                  <c:v>1995262.31496888</c:v>
                </c:pt>
                <c:pt idx="530">
                  <c:v>2041737.9446695296</c:v>
                </c:pt>
                <c:pt idx="531">
                  <c:v>2089296.1308540432</c:v>
                </c:pt>
                <c:pt idx="532">
                  <c:v>2137962.0895022359</c:v>
                </c:pt>
                <c:pt idx="533">
                  <c:v>2187761.6239495561</c:v>
                </c:pt>
                <c:pt idx="534">
                  <c:v>2238721.1385683389</c:v>
                </c:pt>
                <c:pt idx="535">
                  <c:v>2290867.6527677765</c:v>
                </c:pt>
                <c:pt idx="536">
                  <c:v>2344228.8153199251</c:v>
                </c:pt>
                <c:pt idx="537">
                  <c:v>2398832.9190194933</c:v>
                </c:pt>
                <c:pt idx="538">
                  <c:v>2454708.915685033</c:v>
                </c:pt>
                <c:pt idx="539">
                  <c:v>2511886.431509587</c:v>
                </c:pt>
                <c:pt idx="540">
                  <c:v>2570395.782768866</c:v>
                </c:pt>
                <c:pt idx="541">
                  <c:v>2630267.9918953842</c:v>
                </c:pt>
              </c:numCache>
            </c:numRef>
          </c:xVal>
          <c:yVal>
            <c:numRef>
              <c:f>Loop_Modeling!$AT$19:$AT$560</c:f>
              <c:numCache>
                <c:formatCode>0.000</c:formatCode>
                <c:ptCount val="542"/>
                <c:pt idx="0">
                  <c:v>58.958912917821429</c:v>
                </c:pt>
                <c:pt idx="1">
                  <c:v>58.753997734262612</c:v>
                </c:pt>
                <c:pt idx="2">
                  <c:v>58.548857805858468</c:v>
                </c:pt>
                <c:pt idx="3">
                  <c:v>58.343483187050175</c:v>
                </c:pt>
                <c:pt idx="4">
                  <c:v>58.137863523127329</c:v>
                </c:pt>
                <c:pt idx="5">
                  <c:v>57.931988036295799</c:v>
                </c:pt>
                <c:pt idx="6">
                  <c:v>57.725845511549984</c:v>
                </c:pt>
                <c:pt idx="7">
                  <c:v>57.519424282377294</c:v>
                </c:pt>
                <c:pt idx="8">
                  <c:v>57.312712216325622</c:v>
                </c:pt>
                <c:pt idx="9">
                  <c:v>57.105696700470688</c:v>
                </c:pt>
                <c:pt idx="10">
                  <c:v>56.898364626821859</c:v>
                </c:pt>
                <c:pt idx="11">
                  <c:v>56.690702377713009</c:v>
                </c:pt>
                <c:pt idx="12">
                  <c:v>56.482695811227586</c:v>
                </c:pt>
                <c:pt idx="13">
                  <c:v>56.274330246713404</c:v>
                </c:pt>
                <c:pt idx="14">
                  <c:v>56.065590450449591</c:v>
                </c:pt>
                <c:pt idx="15">
                  <c:v>55.856460621531731</c:v>
                </c:pt>
                <c:pt idx="16">
                  <c:v>55.646924378050656</c:v>
                </c:pt>
                <c:pt idx="17">
                  <c:v>55.436964743645412</c:v>
                </c:pt>
                <c:pt idx="18">
                  <c:v>55.226564134517432</c:v>
                </c:pt>
                <c:pt idx="19">
                  <c:v>55.015704347003378</c:v>
                </c:pt>
                <c:pt idx="20">
                  <c:v>54.804366545808548</c:v>
                </c:pt>
                <c:pt idx="21">
                  <c:v>54.592531253011998</c:v>
                </c:pt>
                <c:pt idx="22">
                  <c:v>54.380178337965148</c:v>
                </c:pt>
                <c:pt idx="23">
                  <c:v>54.167287008208085</c:v>
                </c:pt>
                <c:pt idx="24">
                  <c:v>53.953835801544983</c:v>
                </c:pt>
                <c:pt idx="25">
                  <c:v>53.739802579418416</c:v>
                </c:pt>
                <c:pt idx="26">
                  <c:v>53.525164521741566</c:v>
                </c:pt>
                <c:pt idx="27">
                  <c:v>53.309898123346699</c:v>
                </c:pt>
                <c:pt idx="28">
                  <c:v>53.093979192222946</c:v>
                </c:pt>
                <c:pt idx="29">
                  <c:v>52.877382849720789</c:v>
                </c:pt>
                <c:pt idx="30">
                  <c:v>52.660083532910164</c:v>
                </c:pt>
                <c:pt idx="31">
                  <c:v>52.442054999285261</c:v>
                </c:pt>
                <c:pt idx="32">
                  <c:v>52.223270334016206</c:v>
                </c:pt>
                <c:pt idx="33">
                  <c:v>52.003701959952274</c:v>
                </c:pt>
                <c:pt idx="34">
                  <c:v>51.783321650586643</c:v>
                </c:pt>
                <c:pt idx="35">
                  <c:v>51.562100546196007</c:v>
                </c:pt>
                <c:pt idx="36">
                  <c:v>51.340009173368259</c:v>
                </c:pt>
                <c:pt idx="37">
                  <c:v>51.117017468136567</c:v>
                </c:pt>
                <c:pt idx="38">
                  <c:v>50.893094802928935</c:v>
                </c:pt>
                <c:pt idx="39">
                  <c:v>50.668210017546457</c:v>
                </c:pt>
                <c:pt idx="40">
                  <c:v>50.442331454372429</c:v>
                </c:pt>
                <c:pt idx="41">
                  <c:v>50.215426998007999</c:v>
                </c:pt>
                <c:pt idx="42">
                  <c:v>49.987464119518378</c:v>
                </c:pt>
                <c:pt idx="43">
                  <c:v>49.758409925460384</c:v>
                </c:pt>
                <c:pt idx="44">
                  <c:v>49.528231211844165</c:v>
                </c:pt>
                <c:pt idx="45">
                  <c:v>49.29689452316164</c:v>
                </c:pt>
                <c:pt idx="46">
                  <c:v>49.064366216591722</c:v>
                </c:pt>
                <c:pt idx="47">
                  <c:v>48.830612531463018</c:v>
                </c:pt>
                <c:pt idx="48">
                  <c:v>48.595599664026807</c:v>
                </c:pt>
                <c:pt idx="49">
                  <c:v>48.359293847556735</c:v>
                </c:pt>
                <c:pt idx="50">
                  <c:v>48.121661437754561</c:v>
                </c:pt>
                <c:pt idx="51">
                  <c:v>47.882669003401702</c:v>
                </c:pt>
                <c:pt idx="52">
                  <c:v>47.642283422149674</c:v>
                </c:pt>
                <c:pt idx="53">
                  <c:v>47.400471981297912</c:v>
                </c:pt>
                <c:pt idx="54">
                  <c:v>47.157202483356357</c:v>
                </c:pt>
                <c:pt idx="55">
                  <c:v>46.912443356138681</c:v>
                </c:pt>
                <c:pt idx="56">
                  <c:v>46.666163767078999</c:v>
                </c:pt>
                <c:pt idx="57">
                  <c:v>46.418333741410009</c:v>
                </c:pt>
                <c:pt idx="58">
                  <c:v>46.168924283785024</c:v>
                </c:pt>
                <c:pt idx="59">
                  <c:v>45.917907502872808</c:v>
                </c:pt>
                <c:pt idx="60">
                  <c:v>45.665256738399776</c:v>
                </c:pt>
                <c:pt idx="61">
                  <c:v>45.410946690060612</c:v>
                </c:pt>
                <c:pt idx="62">
                  <c:v>45.154953547673777</c:v>
                </c:pt>
                <c:pt idx="63">
                  <c:v>44.897255121906987</c:v>
                </c:pt>
                <c:pt idx="64">
                  <c:v>44.637830974862673</c:v>
                </c:pt>
                <c:pt idx="65">
                  <c:v>44.376662549772789</c:v>
                </c:pt>
                <c:pt idx="66">
                  <c:v>44.113733299027558</c:v>
                </c:pt>
                <c:pt idx="67">
                  <c:v>43.849028809736659</c:v>
                </c:pt>
                <c:pt idx="68">
                  <c:v>43.582536926009837</c:v>
                </c:pt>
                <c:pt idx="69">
                  <c:v>43.314247867136125</c:v>
                </c:pt>
                <c:pt idx="70">
                  <c:v>43.044154340843328</c:v>
                </c:pt>
                <c:pt idx="71">
                  <c:v>42.772251650832594</c:v>
                </c:pt>
                <c:pt idx="72">
                  <c:v>42.498537797801681</c:v>
                </c:pt>
                <c:pt idx="73">
                  <c:v>42.223013573201804</c:v>
                </c:pt>
                <c:pt idx="74">
                  <c:v>41.945682645013321</c:v>
                </c:pt>
                <c:pt idx="75">
                  <c:v>41.666551634870444</c:v>
                </c:pt>
                <c:pt idx="76">
                  <c:v>41.385630185923063</c:v>
                </c:pt>
                <c:pt idx="77">
                  <c:v>41.102931020887688</c:v>
                </c:pt>
                <c:pt idx="78">
                  <c:v>40.818469989806701</c:v>
                </c:pt>
                <c:pt idx="79">
                  <c:v>40.532266107112235</c:v>
                </c:pt>
                <c:pt idx="80">
                  <c:v>40.244341577670717</c:v>
                </c:pt>
                <c:pt idx="81">
                  <c:v>39.954721811564291</c:v>
                </c:pt>
                <c:pt idx="82">
                  <c:v>39.663435427451205</c:v>
                </c:pt>
                <c:pt idx="83">
                  <c:v>39.370514244431597</c:v>
                </c:pt>
                <c:pt idx="84">
                  <c:v>39.075993262427318</c:v>
                </c:pt>
                <c:pt idx="85">
                  <c:v>38.779910631166189</c:v>
                </c:pt>
                <c:pt idx="86">
                  <c:v>38.482307607939163</c:v>
                </c:pt>
                <c:pt idx="87">
                  <c:v>38.183228504369524</c:v>
                </c:pt>
                <c:pt idx="88">
                  <c:v>37.882720622503271</c:v>
                </c:pt>
                <c:pt idx="89">
                  <c:v>37.580834180586322</c:v>
                </c:pt>
                <c:pt idx="90">
                  <c:v>37.277622228952382</c:v>
                </c:pt>
                <c:pt idx="91">
                  <c:v>36.973140556484992</c:v>
                </c:pt>
                <c:pt idx="92">
                  <c:v>36.667447588159959</c:v>
                </c:pt>
                <c:pt idx="93">
                  <c:v>36.360604274199979</c:v>
                </c:pt>
                <c:pt idx="94">
                  <c:v>36.052673971395365</c:v>
                </c:pt>
                <c:pt idx="95">
                  <c:v>35.743722317159637</c:v>
                </c:pt>
                <c:pt idx="96">
                  <c:v>35.433817096892895</c:v>
                </c:pt>
                <c:pt idx="97">
                  <c:v>35.123028105225977</c:v>
                </c:pt>
                <c:pt idx="98">
                  <c:v>34.811427001712651</c:v>
                </c:pt>
                <c:pt idx="99">
                  <c:v>34.4990871615245</c:v>
                </c:pt>
                <c:pt idx="100">
                  <c:v>34.186083521687671</c:v>
                </c:pt>
                <c:pt idx="101">
                  <c:v>33.872492423383157</c:v>
                </c:pt>
                <c:pt idx="102">
                  <c:v>33.558391450808948</c:v>
                </c:pt>
                <c:pt idx="103">
                  <c:v>33.243859267082641</c:v>
                </c:pt>
                <c:pt idx="104">
                  <c:v>32.928975447640262</c:v>
                </c:pt>
                <c:pt idx="105">
                  <c:v>32.613820311566222</c:v>
                </c:pt>
                <c:pt idx="106">
                  <c:v>32.298474751269424</c:v>
                </c:pt>
                <c:pt idx="107">
                  <c:v>31.983020060904522</c:v>
                </c:pt>
                <c:pt idx="108">
                  <c:v>31.6675377639244</c:v>
                </c:pt>
                <c:pt idx="109">
                  <c:v>31.352109440136999</c:v>
                </c:pt>
                <c:pt idx="110">
                  <c:v>31.036816552639603</c:v>
                </c:pt>
                <c:pt idx="111">
                  <c:v>30.721740274994502</c:v>
                </c:pt>
                <c:pt idx="112">
                  <c:v>30.406961319021914</c:v>
                </c:pt>
                <c:pt idx="113">
                  <c:v>30.092559763583594</c:v>
                </c:pt>
                <c:pt idx="114">
                  <c:v>29.778614884750304</c:v>
                </c:pt>
                <c:pt idx="115">
                  <c:v>29.465204987755076</c:v>
                </c:pt>
                <c:pt idx="116">
                  <c:v>29.152407241154641</c:v>
                </c:pt>
                <c:pt idx="117">
                  <c:v>28.840297513640593</c:v>
                </c:pt>
                <c:pt idx="118">
                  <c:v>28.528950213963245</c:v>
                </c:pt>
                <c:pt idx="119">
                  <c:v>28.218438134453365</c:v>
                </c:pt>
                <c:pt idx="120">
                  <c:v>27.908832298648917</c:v>
                </c:pt>
                <c:pt idx="121">
                  <c:v>27.600201813553667</c:v>
                </c:pt>
                <c:pt idx="122">
                  <c:v>27.292613727072176</c:v>
                </c:pt>
                <c:pt idx="123">
                  <c:v>26.986132891181136</c:v>
                </c:pt>
                <c:pt idx="124">
                  <c:v>26.680821831406483</c:v>
                </c:pt>
                <c:pt idx="125">
                  <c:v>26.376740623179323</c:v>
                </c:pt>
                <c:pt idx="126">
                  <c:v>26.073946775643819</c:v>
                </c:pt>
                <c:pt idx="127">
                  <c:v>25.772495123479967</c:v>
                </c:pt>
                <c:pt idx="128">
                  <c:v>25.472437727290732</c:v>
                </c:pt>
                <c:pt idx="129">
                  <c:v>25.173823783073846</c:v>
                </c:pt>
                <c:pt idx="130">
                  <c:v>24.876699541275574</c:v>
                </c:pt>
                <c:pt idx="131">
                  <c:v>24.581108235873074</c:v>
                </c:pt>
                <c:pt idx="132">
                  <c:v>24.287090023892443</c:v>
                </c:pt>
                <c:pt idx="133">
                  <c:v>23.994681935708829</c:v>
                </c:pt>
                <c:pt idx="134">
                  <c:v>23.703917836415332</c:v>
                </c:pt>
                <c:pt idx="135">
                  <c:v>23.414828398475926</c:v>
                </c:pt>
                <c:pt idx="136">
                  <c:v>23.127441085804055</c:v>
                </c:pt>
                <c:pt idx="137">
                  <c:v>22.841780149331829</c:v>
                </c:pt>
                <c:pt idx="138">
                  <c:v>22.557866634049152</c:v>
                </c:pt>
                <c:pt idx="139">
                  <c:v>22.275718397409552</c:v>
                </c:pt>
                <c:pt idx="140">
                  <c:v>21.995350138919235</c:v>
                </c:pt>
                <c:pt idx="141">
                  <c:v>21.716773440633069</c:v>
                </c:pt>
                <c:pt idx="142">
                  <c:v>21.439996818210719</c:v>
                </c:pt>
                <c:pt idx="143">
                  <c:v>21.165025782097928</c:v>
                </c:pt>
                <c:pt idx="144">
                  <c:v>20.891862908332364</c:v>
                </c:pt>
                <c:pt idx="145">
                  <c:v>20.620507918400371</c:v>
                </c:pt>
                <c:pt idx="146">
                  <c:v>20.350957767512856</c:v>
                </c:pt>
                <c:pt idx="147">
                  <c:v>20.083206740615736</c:v>
                </c:pt>
                <c:pt idx="148">
                  <c:v>19.81724655540107</c:v>
                </c:pt>
                <c:pt idx="149">
                  <c:v>19.553066471556178</c:v>
                </c:pt>
                <c:pt idx="150">
                  <c:v>19.290653405452179</c:v>
                </c:pt>
                <c:pt idx="151">
                  <c:v>19.02999204946483</c:v>
                </c:pt>
                <c:pt idx="152">
                  <c:v>18.771064995102705</c:v>
                </c:pt>
                <c:pt idx="153">
                  <c:v>18.51385285912615</c:v>
                </c:pt>
                <c:pt idx="154">
                  <c:v>18.25833441184388</c:v>
                </c:pt>
                <c:pt idx="155">
                  <c:v>18.004486706795205</c:v>
                </c:pt>
                <c:pt idx="156">
                  <c:v>17.752285211045901</c:v>
                </c:pt>
                <c:pt idx="157">
                  <c:v>17.501703935363103</c:v>
                </c:pt>
                <c:pt idx="158">
                  <c:v>17.252715563566653</c:v>
                </c:pt>
                <c:pt idx="159">
                  <c:v>17.00529158039916</c:v>
                </c:pt>
                <c:pt idx="160">
                  <c:v>16.7594023973042</c:v>
                </c:pt>
                <c:pt idx="161">
                  <c:v>16.515017475551122</c:v>
                </c:pt>
                <c:pt idx="162">
                  <c:v>16.272105446197788</c:v>
                </c:pt>
                <c:pt idx="163">
                  <c:v>16.030634226435957</c:v>
                </c:pt>
                <c:pt idx="164">
                  <c:v>15.790571131921372</c:v>
                </c:pt>
                <c:pt idx="165">
                  <c:v>15.551882984741248</c:v>
                </c:pt>
                <c:pt idx="166">
                  <c:v>15.314536216730744</c:v>
                </c:pt>
                <c:pt idx="167">
                  <c:v>15.078496967899465</c:v>
                </c:pt>
                <c:pt idx="168">
                  <c:v>14.843731179781033</c:v>
                </c:pt>
                <c:pt idx="169">
                  <c:v>14.610204683569396</c:v>
                </c:pt>
                <c:pt idx="170">
                  <c:v>14.377883282948222</c:v>
                </c:pt>
                <c:pt idx="171">
                  <c:v>14.146732831565352</c:v>
                </c:pt>
                <c:pt idx="172">
                  <c:v>13.916719305143197</c:v>
                </c:pt>
                <c:pt idx="173">
                  <c:v>13.687808868252244</c:v>
                </c:pt>
                <c:pt idx="174">
                  <c:v>13.459967935808173</c:v>
                </c:pt>
                <c:pt idx="175">
                  <c:v>13.233163229382026</c:v>
                </c:pt>
                <c:pt idx="176">
                  <c:v>13.007361828438306</c:v>
                </c:pt>
                <c:pt idx="177">
                  <c:v>12.782531216641072</c:v>
                </c:pt>
                <c:pt idx="178">
                  <c:v>12.558639323381273</c:v>
                </c:pt>
                <c:pt idx="179">
                  <c:v>12.335654560703324</c:v>
                </c:pt>
                <c:pt idx="180">
                  <c:v>12.113545855811811</c:v>
                </c:pt>
                <c:pt idx="181">
                  <c:v>11.892282679358171</c:v>
                </c:pt>
                <c:pt idx="182">
                  <c:v>11.671835069708852</c:v>
                </c:pt>
                <c:pt idx="183">
                  <c:v>11.452173653403118</c:v>
                </c:pt>
                <c:pt idx="184">
                  <c:v>11.233269662014374</c:v>
                </c:pt>
                <c:pt idx="185">
                  <c:v>11.015094945623803</c:v>
                </c:pt>
                <c:pt idx="186">
                  <c:v>10.797621983119782</c:v>
                </c:pt>
                <c:pt idx="187">
                  <c:v>10.580823889531965</c:v>
                </c:pt>
                <c:pt idx="188">
                  <c:v>10.364674420603293</c:v>
                </c:pt>
                <c:pt idx="189">
                  <c:v>10.149147974802876</c:v>
                </c:pt>
                <c:pt idx="190">
                  <c:v>9.934219592970317</c:v>
                </c:pt>
                <c:pt idx="191">
                  <c:v>9.7198649557820804</c:v>
                </c:pt>
                <c:pt idx="192">
                  <c:v>9.5060603792175513</c:v>
                </c:pt>
                <c:pt idx="193">
                  <c:v>9.2927828081986412</c:v>
                </c:pt>
                <c:pt idx="194">
                  <c:v>9.0800098085641743</c:v>
                </c:pt>
                <c:pt idx="195">
                  <c:v>8.8677195575374608</c:v>
                </c:pt>
                <c:pt idx="196">
                  <c:v>8.6558908328306643</c:v>
                </c:pt>
                <c:pt idx="197">
                  <c:v>8.4445030005244277</c:v>
                </c:pt>
                <c:pt idx="198">
                  <c:v>8.2335360018531354</c:v>
                </c:pt>
                <c:pt idx="199">
                  <c:v>8.0229703390132094</c:v>
                </c:pt>
                <c:pt idx="200">
                  <c:v>7.8127870601083078</c:v>
                </c:pt>
                <c:pt idx="201">
                  <c:v>7.6029677433341369</c:v>
                </c:pt>
                <c:pt idx="202">
                  <c:v>7.3934944804970524</c:v>
                </c:pt>
                <c:pt idx="203">
                  <c:v>7.1843498599551845</c:v>
                </c:pt>
                <c:pt idx="204">
                  <c:v>6.9755169490607205</c:v>
                </c:pt>
                <c:pt idx="205">
                  <c:v>6.7669792761763459</c:v>
                </c:pt>
                <c:pt idx="206">
                  <c:v>6.5587208123310878</c:v>
                </c:pt>
                <c:pt idx="207">
                  <c:v>6.3507259525752948</c:v>
                </c:pt>
                <c:pt idx="208">
                  <c:v>6.1429794970865235</c:v>
                </c:pt>
                <c:pt idx="209">
                  <c:v>5.9354666320734717</c:v>
                </c:pt>
                <c:pt idx="210">
                  <c:v>5.7281729105206143</c:v>
                </c:pt>
                <c:pt idx="211">
                  <c:v>5.5210842328068708</c:v>
                </c:pt>
                <c:pt idx="212">
                  <c:v>5.314186827232886</c:v>
                </c:pt>
                <c:pt idx="213">
                  <c:v>5.107467230481114</c:v>
                </c:pt>
                <c:pt idx="214">
                  <c:v>4.9009122680323784</c:v>
                </c:pt>
                <c:pt idx="215">
                  <c:v>4.6945090345575471</c:v>
                </c:pt>
                <c:pt idx="216">
                  <c:v>4.4882448742992009</c:v>
                </c:pt>
                <c:pt idx="217">
                  <c:v>4.2821073614540701</c:v>
                </c:pt>
                <c:pt idx="218">
                  <c:v>4.0760842805675122</c:v>
                </c:pt>
                <c:pt idx="219">
                  <c:v>3.870163606941659</c:v>
                </c:pt>
                <c:pt idx="220">
                  <c:v>3.6643334870656203</c:v>
                </c:pt>
                <c:pt idx="221">
                  <c:v>3.458582219064199</c:v>
                </c:pt>
                <c:pt idx="222">
                  <c:v>3.2528982331680463</c:v>
                </c:pt>
                <c:pt idx="223">
                  <c:v>3.0472700721990753</c:v>
                </c:pt>
                <c:pt idx="224">
                  <c:v>2.8416863720693781</c:v>
                </c:pt>
                <c:pt idx="225">
                  <c:v>2.6361358422864996</c:v>
                </c:pt>
                <c:pt idx="226">
                  <c:v>2.4306072464588966</c:v>
                </c:pt>
                <c:pt idx="227">
                  <c:v>2.2250893827926701</c:v>
                </c:pt>
                <c:pt idx="228">
                  <c:v>2.0195710645720304</c:v>
                </c:pt>
                <c:pt idx="229">
                  <c:v>1.8140411006131378</c:v>
                </c:pt>
                <c:pt idx="230">
                  <c:v>1.6084882756822418</c:v>
                </c:pt>
                <c:pt idx="231">
                  <c:v>1.4029013308677323</c:v>
                </c:pt>
                <c:pt idx="232">
                  <c:v>1.197268943896777</c:v>
                </c:pt>
                <c:pt idx="233">
                  <c:v>0.99157970938434603</c:v>
                </c:pt>
                <c:pt idx="234">
                  <c:v>0.78582211900891707</c:v>
                </c:pt>
                <c:pt idx="235">
                  <c:v>0.57998454160138324</c:v>
                </c:pt>
                <c:pt idx="236">
                  <c:v>0.37405520314186791</c:v>
                </c:pt>
                <c:pt idx="237">
                  <c:v>0.16802216665487302</c:v>
                </c:pt>
                <c:pt idx="238">
                  <c:v>-3.8126688002197033E-2</c:v>
                </c:pt>
                <c:pt idx="239">
                  <c:v>-0.24440368446430127</c:v>
                </c:pt>
                <c:pt idx="240">
                  <c:v>-0.45082137029999692</c:v>
                </c:pt>
                <c:pt idx="241">
                  <c:v>-0.65739253757161786</c:v>
                </c:pt>
                <c:pt idx="242">
                  <c:v>-0.86413024351423573</c:v>
                </c:pt>
                <c:pt idx="243">
                  <c:v>-1.0710478313324141</c:v>
                </c:pt>
                <c:pt idx="244">
                  <c:v>-1.2781589511087057</c:v>
                </c:pt>
                <c:pt idx="245">
                  <c:v>-1.4854775808191369</c:v>
                </c:pt>
                <c:pt idx="246">
                  <c:v>-1.6930180474432968</c:v>
                </c:pt>
                <c:pt idx="247">
                  <c:v>-1.9007950481579581</c:v>
                </c:pt>
                <c:pt idx="248">
                  <c:v>-2.1088236715968862</c:v>
                </c:pt>
                <c:pt idx="249">
                  <c:v>-2.3171194191568159</c:v>
                </c:pt>
                <c:pt idx="250">
                  <c:v>-2.5256982263240508</c:v>
                </c:pt>
                <c:pt idx="251">
                  <c:v>-2.7345764839940716</c:v>
                </c:pt>
                <c:pt idx="252">
                  <c:v>-2.9437710597503659</c:v>
                </c:pt>
                <c:pt idx="253">
                  <c:v>-3.1532993190628718</c:v>
                </c:pt>
                <c:pt idx="254">
                  <c:v>-3.363179146363672</c:v>
                </c:pt>
                <c:pt idx="255">
                  <c:v>-3.5734289659479872</c:v>
                </c:pt>
                <c:pt idx="256">
                  <c:v>-3.7840677626461638</c:v>
                </c:pt>
                <c:pt idx="257">
                  <c:v>-3.9951151022035809</c:v>
                </c:pt>
                <c:pt idx="258">
                  <c:v>-4.2065911512997882</c:v>
                </c:pt>
                <c:pt idx="259">
                  <c:v>-4.4185166971298679</c:v>
                </c:pt>
                <c:pt idx="260">
                  <c:v>-4.630913166464838</c:v>
                </c:pt>
                <c:pt idx="261">
                  <c:v>-4.8438026441005491</c:v>
                </c:pt>
                <c:pt idx="262">
                  <c:v>-5.0572078905937321</c:v>
                </c:pt>
                <c:pt idx="263">
                  <c:v>-5.2711523591800304</c:v>
                </c:pt>
                <c:pt idx="264">
                  <c:v>-5.4856602117565494</c:v>
                </c:pt>
                <c:pt idx="265">
                  <c:v>-5.7007563338052281</c:v>
                </c:pt>
                <c:pt idx="266">
                  <c:v>-5.9164663481246293</c:v>
                </c:pt>
                <c:pt idx="267">
                  <c:v>-6.1328166272277782</c:v>
                </c:pt>
                <c:pt idx="268">
                  <c:v>-6.3498343042562846</c:v>
                </c:pt>
                <c:pt idx="269">
                  <c:v>-6.5675472822541989</c:v>
                </c:pt>
                <c:pt idx="270">
                  <c:v>-6.7859842416324501</c:v>
                </c:pt>
                <c:pt idx="271">
                  <c:v>-7.0051746456528985</c:v>
                </c:pt>
                <c:pt idx="272">
                  <c:v>-7.2251487437495596</c:v>
                </c:pt>
                <c:pt idx="273">
                  <c:v>-7.4459375725005135</c:v>
                </c:pt>
                <c:pt idx="274">
                  <c:v>-7.6675729540565127</c:v>
                </c:pt>
                <c:pt idx="275">
                  <c:v>-7.8900874918308714</c:v>
                </c:pt>
                <c:pt idx="276">
                  <c:v>-8.113514563248577</c:v>
                </c:pt>
                <c:pt idx="277">
                  <c:v>-8.3378883093514347</c:v>
                </c:pt>
                <c:pt idx="278">
                  <c:v>-8.5632436210584846</c:v>
                </c:pt>
                <c:pt idx="279">
                  <c:v>-8.7896161218776143</c:v>
                </c:pt>
                <c:pt idx="280">
                  <c:v>-9.0170421468713293</c:v>
                </c:pt>
                <c:pt idx="281">
                  <c:v>-9.2455587176836946</c:v>
                </c:pt>
                <c:pt idx="282">
                  <c:v>-9.4752035134453276</c:v>
                </c:pt>
                <c:pt idx="283">
                  <c:v>-9.7060148373791204</c:v>
                </c:pt>
                <c:pt idx="284">
                  <c:v>-9.9380315789511862</c:v>
                </c:pt>
                <c:pt idx="285">
                  <c:v>-10.171293171418403</c:v>
                </c:pt>
                <c:pt idx="286">
                  <c:v>-10.405839544652203</c:v>
                </c:pt>
                <c:pt idx="287">
                  <c:v>-10.641711073135397</c:v>
                </c:pt>
                <c:pt idx="288">
                  <c:v>-10.87894851905823</c:v>
                </c:pt>
                <c:pt idx="289">
                  <c:v>-11.117592970467676</c:v>
                </c:pt>
                <c:pt idx="290">
                  <c:v>-11.357685774460302</c:v>
                </c:pt>
                <c:pt idx="291">
                  <c:v>-11.59926846544078</c:v>
                </c:pt>
                <c:pt idx="292">
                  <c:v>-11.842382688513446</c:v>
                </c:pt>
                <c:pt idx="293">
                  <c:v>-12.087070118112241</c:v>
                </c:pt>
                <c:pt idx="294">
                  <c:v>-12.333372372025151</c:v>
                </c:pt>
                <c:pt idx="295">
                  <c:v>-12.581330921011611</c:v>
                </c:pt>
                <c:pt idx="296">
                  <c:v>-12.830986994267198</c:v>
                </c:pt>
                <c:pt idx="297">
                  <c:v>-13.082381481038396</c:v>
                </c:pt>
                <c:pt idx="298">
                  <c:v>-13.335554828743978</c:v>
                </c:pt>
                <c:pt idx="299">
                  <c:v>-13.590546938012418</c:v>
                </c:pt>
                <c:pt idx="300">
                  <c:v>-13.847397055098472</c:v>
                </c:pt>
                <c:pt idx="301">
                  <c:v>-14.106143662192</c:v>
                </c:pt>
                <c:pt idx="302">
                  <c:v>-14.366824366182682</c:v>
                </c:pt>
                <c:pt idx="303">
                  <c:v>-14.629475786491028</c:v>
                </c:pt>
                <c:pt idx="304">
                  <c:v>-14.894133442617878</c:v>
                </c:pt>
                <c:pt idx="305">
                  <c:v>-15.160831642103656</c:v>
                </c:pt>
                <c:pt idx="306">
                  <c:v>-15.429603369620617</c:v>
                </c:pt>
                <c:pt idx="307">
                  <c:v>-15.70048017794633</c:v>
                </c:pt>
                <c:pt idx="308">
                  <c:v>-15.973492081588592</c:v>
                </c:pt>
                <c:pt idx="309">
                  <c:v>-16.248667453838387</c:v>
                </c:pt>
                <c:pt idx="310">
                  <c:v>-16.526032928032144</c:v>
                </c:pt>
                <c:pt idx="311">
                  <c:v>-16.805613303798047</c:v>
                </c:pt>
                <c:pt idx="312">
                  <c:v>-17.087431459043422</c:v>
                </c:pt>
                <c:pt idx="313">
                  <c:v>-17.371508268415209</c:v>
                </c:pt>
                <c:pt idx="314">
                  <c:v>-17.65786252892844</c:v>
                </c:pt>
                <c:pt idx="315">
                  <c:v>-17.946510893416821</c:v>
                </c:pt>
                <c:pt idx="316">
                  <c:v>-18.237467812400126</c:v>
                </c:pt>
                <c:pt idx="317">
                  <c:v>-18.530745484905211</c:v>
                </c:pt>
                <c:pt idx="318">
                  <c:v>-18.826353818705407</c:v>
                </c:pt>
                <c:pt idx="319">
                  <c:v>-19.124300400365865</c:v>
                </c:pt>
                <c:pt idx="320">
                  <c:v>-19.424590475402621</c:v>
                </c:pt>
                <c:pt idx="321">
                  <c:v>-19.727226938770595</c:v>
                </c:pt>
                <c:pt idx="322">
                  <c:v>-20.032210335812621</c:v>
                </c:pt>
                <c:pt idx="323">
                  <c:v>-20.339538873701478</c:v>
                </c:pt>
                <c:pt idx="324">
                  <c:v>-20.64920844332255</c:v>
                </c:pt>
                <c:pt idx="325">
                  <c:v>-20.961212651443777</c:v>
                </c:pt>
                <c:pt idx="326">
                  <c:v>-21.275542862939297</c:v>
                </c:pt>
                <c:pt idx="327">
                  <c:v>-21.592188252740343</c:v>
                </c:pt>
                <c:pt idx="328">
                  <c:v>-21.911135867111344</c:v>
                </c:pt>
                <c:pt idx="329">
                  <c:v>-22.232370693770797</c:v>
                </c:pt>
                <c:pt idx="330">
                  <c:v>-22.555875740312192</c:v>
                </c:pt>
                <c:pt idx="331">
                  <c:v>-22.88163212031915</c:v>
                </c:pt>
                <c:pt idx="332">
                  <c:v>-23.209619146518236</c:v>
                </c:pt>
                <c:pt idx="333">
                  <c:v>-23.53981443027287</c:v>
                </c:pt>
                <c:pt idx="334">
                  <c:v>-23.872193986687293</c:v>
                </c:pt>
                <c:pt idx="335">
                  <c:v>-24.206732344569581</c:v>
                </c:pt>
                <c:pt idx="336">
                  <c:v>-24.54340266048737</c:v>
                </c:pt>
                <c:pt idx="337">
                  <c:v>-24.882176836147536</c:v>
                </c:pt>
                <c:pt idx="338">
                  <c:v>-25.223025638336939</c:v>
                </c:pt>
                <c:pt idx="339">
                  <c:v>-25.565918820671975</c:v>
                </c:pt>
                <c:pt idx="340">
                  <c:v>-25.910825246428889</c:v>
                </c:pt>
                <c:pt idx="341">
                  <c:v>-26.257713011753793</c:v>
                </c:pt>
                <c:pt idx="342">
                  <c:v>-26.606549568583489</c:v>
                </c:pt>
                <c:pt idx="343">
                  <c:v>-26.957301846652058</c:v>
                </c:pt>
                <c:pt idx="344">
                  <c:v>-27.309936373997076</c:v>
                </c:pt>
                <c:pt idx="345">
                  <c:v>-27.664419395429931</c:v>
                </c:pt>
                <c:pt idx="346">
                  <c:v>-28.02071698848231</c:v>
                </c:pt>
                <c:pt idx="347">
                  <c:v>-28.378795176393336</c:v>
                </c:pt>
                <c:pt idx="348">
                  <c:v>-28.738620037753627</c:v>
                </c:pt>
                <c:pt idx="349">
                  <c:v>-29.100157812473867</c:v>
                </c:pt>
                <c:pt idx="350">
                  <c:v>-29.463375003799641</c:v>
                </c:pt>
                <c:pt idx="351">
                  <c:v>-29.828238476137496</c:v>
                </c:pt>
                <c:pt idx="352">
                  <c:v>-30.19471554851744</c:v>
                </c:pt>
                <c:pt idx="353">
                  <c:v>-30.562774083547851</c:v>
                </c:pt>
                <c:pt idx="354">
                  <c:v>-30.932382571776557</c:v>
                </c:pt>
                <c:pt idx="355">
                  <c:v>-31.303510211399814</c:v>
                </c:pt>
                <c:pt idx="356">
                  <c:v>-31.676126983305707</c:v>
                </c:pt>
                <c:pt idx="357">
                  <c:v>-32.050203721468115</c:v>
                </c:pt>
                <c:pt idx="358">
                  <c:v>-32.425712178737427</c:v>
                </c:pt>
                <c:pt idx="359">
                  <c:v>-32.802625088099859</c:v>
                </c:pt>
                <c:pt idx="360">
                  <c:v>-33.180916219501256</c:v>
                </c:pt>
                <c:pt idx="361">
                  <c:v>-33.560560432349142</c:v>
                </c:pt>
                <c:pt idx="362">
                  <c:v>-33.941533723818594</c:v>
                </c:pt>
                <c:pt idx="363">
                  <c:v>-34.323813273108634</c:v>
                </c:pt>
                <c:pt idx="364">
                  <c:v>-34.707377481790374</c:v>
                </c:pt>
                <c:pt idx="365">
                  <c:v>-35.092206010411594</c:v>
                </c:pt>
                <c:pt idx="366">
                  <c:v>-35.478279811506908</c:v>
                </c:pt>
                <c:pt idx="367">
                  <c:v>-35.865581159178809</c:v>
                </c:pt>
                <c:pt idx="368">
                  <c:v>-36.254093675400192</c:v>
                </c:pt>
                <c:pt idx="369">
                  <c:v>-36.643802353195703</c:v>
                </c:pt>
                <c:pt idx="370">
                  <c:v>-37.03469357684228</c:v>
                </c:pt>
                <c:pt idx="371">
                  <c:v>-37.426755139231311</c:v>
                </c:pt>
                <c:pt idx="372">
                  <c:v>-37.819976256516256</c:v>
                </c:pt>
                <c:pt idx="373">
                  <c:v>-38.214347580166013</c:v>
                </c:pt>
                <c:pt idx="374">
                  <c:v>-38.609861206526794</c:v>
                </c:pt>
                <c:pt idx="375">
                  <c:v>-39.006510683986413</c:v>
                </c:pt>
                <c:pt idx="376">
                  <c:v>-39.404291017817101</c:v>
                </c:pt>
                <c:pt idx="377">
                  <c:v>-39.803198672762612</c:v>
                </c:pt>
                <c:pt idx="378">
                  <c:v>-40.203231573417597</c:v>
                </c:pt>
                <c:pt idx="379">
                  <c:v>-40.604389102433409</c:v>
                </c:pt>
                <c:pt idx="380">
                  <c:v>-41.006672096569005</c:v>
                </c:pt>
                <c:pt idx="381">
                  <c:v>-41.410082840590974</c:v>
                </c:pt>
                <c:pt idx="382">
                  <c:v>-41.814625059011462</c:v>
                </c:pt>
                <c:pt idx="383">
                  <c:v>-42.220303905638389</c:v>
                </c:pt>
                <c:pt idx="384">
                  <c:v>-42.627125950899305</c:v>
                </c:pt>
                <c:pt idx="385">
                  <c:v>-43.035099166882759</c:v>
                </c:pt>
                <c:pt idx="386">
                  <c:v>-43.444232910037492</c:v>
                </c:pt>
                <c:pt idx="387">
                  <c:v>-43.85453790144652</c:v>
                </c:pt>
                <c:pt idx="388">
                  <c:v>-44.266026204593871</c:v>
                </c:pt>
                <c:pt idx="389">
                  <c:v>-44.678711200523765</c:v>
                </c:pt>
                <c:pt idx="390">
                  <c:v>-45.092607560290858</c:v>
                </c:pt>
                <c:pt idx="391">
                  <c:v>-45.507731214589256</c:v>
                </c:pt>
                <c:pt idx="392">
                  <c:v>-45.924099320446778</c:v>
                </c:pt>
                <c:pt idx="393">
                  <c:v>-46.341730224865572</c:v>
                </c:pt>
                <c:pt idx="394">
                  <c:v>-46.760643425291988</c:v>
                </c:pt>
                <c:pt idx="395">
                  <c:v>-47.180859526797818</c:v>
                </c:pt>
                <c:pt idx="396">
                  <c:v>-47.602400195859417</c:v>
                </c:pt>
                <c:pt idx="397">
                  <c:v>-48.025288110627855</c:v>
                </c:pt>
                <c:pt idx="398">
                  <c:v>-48.4495469075895</c:v>
                </c:pt>
                <c:pt idx="399">
                  <c:v>-48.875201124528019</c:v>
                </c:pt>
                <c:pt idx="400">
                  <c:v>-49.302276139713811</c:v>
                </c:pt>
                <c:pt idx="401">
                  <c:v>-49.730798107258096</c:v>
                </c:pt>
                <c:pt idx="402">
                  <c:v>-50.160793888591556</c:v>
                </c:pt>
                <c:pt idx="403">
                  <c:v>-50.592290980044588</c:v>
                </c:pt>
                <c:pt idx="404">
                  <c:v>-51.025317436532276</c:v>
                </c:pt>
                <c:pt idx="405">
                  <c:v>-51.459901791368495</c:v>
                </c:pt>
                <c:pt idx="406">
                  <c:v>-51.896072972266211</c:v>
                </c:pt>
                <c:pt idx="407">
                  <c:v>-52.333860213604027</c:v>
                </c:pt>
                <c:pt idx="408">
                  <c:v>-52.773292965076735</c:v>
                </c:pt>
                <c:pt idx="409">
                  <c:v>-53.214400796875871</c:v>
                </c:pt>
                <c:pt idx="410">
                  <c:v>-53.657213301580356</c:v>
                </c:pt>
                <c:pt idx="411">
                  <c:v>-54.101759992975985</c:v>
                </c:pt>
                <c:pt idx="412">
                  <c:v>-54.548070202051633</c:v>
                </c:pt>
                <c:pt idx="413">
                  <c:v>-54.996172970461799</c:v>
                </c:pt>
                <c:pt idx="414">
                  <c:v>-55.446096941775082</c:v>
                </c:pt>
                <c:pt idx="415">
                  <c:v>-55.897870250865282</c:v>
                </c:pt>
                <c:pt idx="416">
                  <c:v>-56.351520411836553</c:v>
                </c:pt>
                <c:pt idx="417">
                  <c:v>-56.807074204900175</c:v>
                </c:pt>
                <c:pt idx="418">
                  <c:v>-57.264557562655447</c:v>
                </c:pt>
                <c:pt idx="419">
                  <c:v>-57.723995456252922</c:v>
                </c:pt>
                <c:pt idx="420">
                  <c:v>-58.185411781939351</c:v>
                </c:pt>
                <c:pt idx="421">
                  <c:v>-58.648829248506765</c:v>
                </c:pt>
                <c:pt idx="422">
                  <c:v>-59.114269266184124</c:v>
                </c:pt>
                <c:pt idx="423">
                  <c:v>-59.581751837521715</c:v>
                </c:pt>
                <c:pt idx="424">
                  <c:v>-60.051295450825094</c:v>
                </c:pt>
                <c:pt idx="425">
                  <c:v>-60.522916976700571</c:v>
                </c:pt>
                <c:pt idx="426">
                  <c:v>-60.99663156826729</c:v>
                </c:pt>
                <c:pt idx="427">
                  <c:v>-61.472452565588696</c:v>
                </c:pt>
                <c:pt idx="428">
                  <c:v>-61.950391404855068</c:v>
                </c:pt>
                <c:pt idx="429">
                  <c:v>-62.430457532837671</c:v>
                </c:pt>
                <c:pt idx="430">
                  <c:v>-62.912658327101489</c:v>
                </c:pt>
                <c:pt idx="431">
                  <c:v>-63.39699902244115</c:v>
                </c:pt>
                <c:pt idx="432">
                  <c:v>-63.883482643962395</c:v>
                </c:pt>
                <c:pt idx="433">
                  <c:v>-64.372109947193238</c:v>
                </c:pt>
                <c:pt idx="434">
                  <c:v>-64.862879365563259</c:v>
                </c:pt>
                <c:pt idx="435">
                  <c:v>-65.355786965537433</c:v>
                </c:pt>
                <c:pt idx="436">
                  <c:v>-65.850826409637818</c:v>
                </c:pt>
                <c:pt idx="437">
                  <c:v>-66.347988927529599</c:v>
                </c:pt>
                <c:pt idx="438">
                  <c:v>-66.847263295285927</c:v>
                </c:pt>
                <c:pt idx="439">
                  <c:v>-67.348635822884347</c:v>
                </c:pt>
                <c:pt idx="440">
                  <c:v>-67.852090349925987</c:v>
                </c:pt>
                <c:pt idx="441">
                  <c:v>-68.357608249503869</c:v>
                </c:pt>
                <c:pt idx="442">
                  <c:v>-68.865168440080168</c:v>
                </c:pt>
                <c:pt idx="443">
                  <c:v>-69.374747405178184</c:v>
                </c:pt>
                <c:pt idx="444">
                  <c:v>-69.886319220626348</c:v>
                </c:pt>
                <c:pt idx="445">
                  <c:v>-70.399855589041465</c:v>
                </c:pt>
                <c:pt idx="446">
                  <c:v>-70.915325881180934</c:v>
                </c:pt>
                <c:pt idx="447">
                  <c:v>-71.432697183748658</c:v>
                </c:pt>
                <c:pt idx="448">
                  <c:v>-71.951934353193877</c:v>
                </c:pt>
                <c:pt idx="449">
                  <c:v>-72.473000075006496</c:v>
                </c:pt>
                <c:pt idx="450">
                  <c:v>-72.995854927979181</c:v>
                </c:pt>
                <c:pt idx="451">
                  <c:v>-73.520457452883889</c:v>
                </c:pt>
                <c:pt idx="452">
                  <c:v>-74.046764224993169</c:v>
                </c:pt>
                <c:pt idx="453">
                  <c:v>-74.57472992986267</c:v>
                </c:pt>
                <c:pt idx="454">
                  <c:v>-75.10430744179304</c:v>
                </c:pt>
                <c:pt idx="455">
                  <c:v>-75.63544790438857</c:v>
                </c:pt>
                <c:pt idx="456">
                  <c:v>-76.1681008126411</c:v>
                </c:pt>
                <c:pt idx="457">
                  <c:v>-76.702214095987472</c:v>
                </c:pt>
                <c:pt idx="458">
                  <c:v>-77.237734201806802</c:v>
                </c:pt>
                <c:pt idx="459">
                  <c:v>-77.774606178857738</c:v>
                </c:pt>
                <c:pt idx="460">
                  <c:v>-78.312773760184072</c:v>
                </c:pt>
                <c:pt idx="461">
                  <c:v>-78.852179445059974</c:v>
                </c:pt>
                <c:pt idx="462">
                  <c:v>-79.392764579584124</c:v>
                </c:pt>
                <c:pt idx="463">
                  <c:v>-79.934469435580468</c:v>
                </c:pt>
                <c:pt idx="464">
                  <c:v>-80.477233287508042</c:v>
                </c:pt>
                <c:pt idx="465">
                  <c:v>-81.020994487131688</c:v>
                </c:pt>
                <c:pt idx="466">
                  <c:v>-81.565690535761362</c:v>
                </c:pt>
                <c:pt idx="467">
                  <c:v>-82.111258153908068</c:v>
                </c:pt>
                <c:pt idx="468">
                  <c:v>-82.657633348267353</c:v>
                </c:pt>
                <c:pt idx="469">
                  <c:v>-83.204751475981709</c:v>
                </c:pt>
                <c:pt idx="470">
                  <c:v>-83.752547306188561</c:v>
                </c:pt>
                <c:pt idx="471">
                  <c:v>-84.300955078904025</c:v>
                </c:pt>
                <c:pt idx="472">
                  <c:v>-84.849908561337713</c:v>
                </c:pt>
                <c:pt idx="473">
                  <c:v>-85.399341101780237</c:v>
                </c:pt>
                <c:pt idx="474">
                  <c:v>-85.949185681238376</c:v>
                </c:pt>
                <c:pt idx="475">
                  <c:v>-86.499374963034015</c:v>
                </c:pt>
                <c:pt idx="476">
                  <c:v>-87.049841340614066</c:v>
                </c:pt>
                <c:pt idx="477">
                  <c:v>-87.600516983845836</c:v>
                </c:pt>
                <c:pt idx="478">
                  <c:v>-88.151333884101319</c:v>
                </c:pt>
                <c:pt idx="479">
                  <c:v>-88.702223898449745</c:v>
                </c:pt>
                <c:pt idx="480">
                  <c:v>-89.253118793300416</c:v>
                </c:pt>
                <c:pt idx="481">
                  <c:v>-89.803950287842213</c:v>
                </c:pt>
                <c:pt idx="482">
                  <c:v>-90.354650097645219</c:v>
                </c:pt>
                <c:pt idx="483">
                  <c:v>-90.905149978779335</c:v>
                </c:pt>
                <c:pt idx="484">
                  <c:v>-91.455381772817205</c:v>
                </c:pt>
                <c:pt idx="485">
                  <c:v>-92.005277453072551</c:v>
                </c:pt>
                <c:pt idx="486">
                  <c:v>-92.554769172420421</c:v>
                </c:pt>
                <c:pt idx="487">
                  <c:v>-93.103789313028216</c:v>
                </c:pt>
                <c:pt idx="488">
                  <c:v>-93.652270538305316</c:v>
                </c:pt>
                <c:pt idx="489">
                  <c:v>-94.200145847359124</c:v>
                </c:pt>
                <c:pt idx="490">
                  <c:v>-94.747348632209878</c:v>
                </c:pt>
                <c:pt idx="491">
                  <c:v>-95.293812737989612</c:v>
                </c:pt>
                <c:pt idx="492">
                  <c:v>-95.839472526306281</c:v>
                </c:pt>
                <c:pt idx="493">
                  <c:v>-96.384262941918706</c:v>
                </c:pt>
                <c:pt idx="494">
                  <c:v>-96.928119582816834</c:v>
                </c:pt>
                <c:pt idx="495">
                  <c:v>-97.470978773755462</c:v>
                </c:pt>
                <c:pt idx="496">
                  <c:v>-98.012777643237072</c:v>
                </c:pt>
                <c:pt idx="497">
                  <c:v>-98.553454203881898</c:v>
                </c:pt>
                <c:pt idx="498">
                  <c:v>-99.092947436069707</c:v>
                </c:pt>
                <c:pt idx="499">
                  <c:v>-99.631197374673661</c:v>
                </c:pt>
                <c:pt idx="500">
                  <c:v>-100.16814519865332</c:v>
                </c:pt>
                <c:pt idx="501">
                  <c:v>-100.70373332320499</c:v>
                </c:pt>
                <c:pt idx="502">
                  <c:v>-101.23790549411645</c:v>
                </c:pt>
                <c:pt idx="503">
                  <c:v>-101.77060688390696</c:v>
                </c:pt>
                <c:pt idx="504">
                  <c:v>-102.30178418928291</c:v>
                </c:pt>
                <c:pt idx="505">
                  <c:v>-102.83138572938168</c:v>
                </c:pt>
                <c:pt idx="506">
                  <c:v>-103.35936154423003</c:v>
                </c:pt>
                <c:pt idx="507">
                  <c:v>-103.88566349279688</c:v>
                </c:pt>
                <c:pt idx="508">
                  <c:v>-104.41024534998422</c:v>
                </c:pt>
                <c:pt idx="509">
                  <c:v>-104.9330629018648</c:v>
                </c:pt>
                <c:pt idx="510">
                  <c:v>-105.45407403845411</c:v>
                </c:pt>
                <c:pt idx="511">
                  <c:v>-105.97323884328634</c:v>
                </c:pt>
                <c:pt idx="512">
                  <c:v>-106.49051967905808</c:v>
                </c:pt>
                <c:pt idx="513">
                  <c:v>-107.00588126860319</c:v>
                </c:pt>
                <c:pt idx="514">
                  <c:v>-107.51929077047856</c:v>
                </c:pt>
                <c:pt idx="515">
                  <c:v>-108.03071784845672</c:v>
                </c:pt>
                <c:pt idx="516">
                  <c:v>-108.54013473425778</c:v>
                </c:pt>
                <c:pt idx="517">
                  <c:v>-109.04751628289188</c:v>
                </c:pt>
                <c:pt idx="518">
                  <c:v>-109.55284002003289</c:v>
                </c:pt>
                <c:pt idx="519">
                  <c:v>-110.05608618090677</c:v>
                </c:pt>
                <c:pt idx="520">
                  <c:v>-110.55723774024194</c:v>
                </c:pt>
                <c:pt idx="521">
                  <c:v>-111.0562804329048</c:v>
                </c:pt>
                <c:pt idx="522">
                  <c:v>-111.55320276492409</c:v>
                </c:pt>
                <c:pt idx="523">
                  <c:v>-112.0479960146919</c:v>
                </c:pt>
                <c:pt idx="524">
                  <c:v>-112.5406542242205</c:v>
                </c:pt>
                <c:pt idx="525">
                  <c:v>-113.03117418041849</c:v>
                </c:pt>
                <c:pt idx="526">
                  <c:v>-113.51955538645045</c:v>
                </c:pt>
                <c:pt idx="527">
                  <c:v>-114.00580002332647</c:v>
                </c:pt>
                <c:pt idx="528">
                  <c:v>-114.48991290196277</c:v>
                </c:pt>
                <c:pt idx="529">
                  <c:v>-114.97190140603401</c:v>
                </c:pt>
                <c:pt idx="530">
                  <c:v>-115.45177542602283</c:v>
                </c:pt>
                <c:pt idx="531">
                  <c:v>-115.92954728494477</c:v>
                </c:pt>
                <c:pt idx="532">
                  <c:v>-116.40523165629149</c:v>
                </c:pt>
                <c:pt idx="533">
                  <c:v>-116.87884547479825</c:v>
                </c:pt>
                <c:pt idx="534">
                  <c:v>-117.35040784069056</c:v>
                </c:pt>
                <c:pt idx="535">
                  <c:v>-117.81993991810603</c:v>
                </c:pt>
                <c:pt idx="536">
                  <c:v>-118.28746482841916</c:v>
                </c:pt>
                <c:pt idx="537">
                  <c:v>-118.75300753922417</c:v>
                </c:pt>
                <c:pt idx="538">
                  <c:v>-119.21659474973774</c:v>
                </c:pt>
                <c:pt idx="539">
                  <c:v>-119.67825477338982</c:v>
                </c:pt>
                <c:pt idx="540">
                  <c:v>-120.13801741836977</c:v>
                </c:pt>
                <c:pt idx="541">
                  <c:v>-120.5959138668757</c:v>
                </c:pt>
              </c:numCache>
            </c:numRef>
          </c:yVal>
          <c:smooth val="1"/>
          <c:extLst>
            <c:ext xmlns:c16="http://schemas.microsoft.com/office/drawing/2014/chart" uri="{C3380CC4-5D6E-409C-BE32-E72D297353CC}">
              <c16:uniqueId val="{00000000-F188-4D39-B62C-FFCB026FFDB3}"/>
            </c:ext>
          </c:extLst>
        </c:ser>
        <c:dLbls>
          <c:showLegendKey val="0"/>
          <c:showVal val="0"/>
          <c:showCatName val="0"/>
          <c:showSerName val="0"/>
          <c:showPercent val="0"/>
          <c:showBubbleSize val="0"/>
        </c:dLbls>
        <c:axId val="160959104"/>
        <c:axId val="160985856"/>
      </c:scatterChart>
      <c:scatterChart>
        <c:scatterStyle val="smoothMarker"/>
        <c:varyColors val="0"/>
        <c:ser>
          <c:idx val="1"/>
          <c:order val="1"/>
          <c:tx>
            <c:v>Phase (deg)</c:v>
          </c:tx>
          <c:spPr>
            <a:ln w="38100">
              <a:solidFill>
                <a:schemeClr val="tx1">
                  <a:lumMod val="95000"/>
                  <a:lumOff val="5000"/>
                </a:schemeClr>
              </a:solidFill>
              <a:prstDash val="sysDash"/>
            </a:ln>
          </c:spPr>
          <c:marker>
            <c:symbol val="none"/>
          </c:marker>
          <c:xVal>
            <c:numRef>
              <c:f>Loop_Modeling!$O$19:$O$560</c:f>
              <c:numCache>
                <c:formatCode>0.00</c:formatCode>
                <c:ptCount val="542"/>
                <c:pt idx="0">
                  <c:v>10.232929922807543</c:v>
                </c:pt>
                <c:pt idx="1">
                  <c:v>10.471285480509</c:v>
                </c:pt>
                <c:pt idx="2">
                  <c:v>10.715193052376069</c:v>
                </c:pt>
                <c:pt idx="3">
                  <c:v>10.964781961431854</c:v>
                </c:pt>
                <c:pt idx="4">
                  <c:v>11.220184543019636</c:v>
                </c:pt>
                <c:pt idx="5">
                  <c:v>11.481536214968834</c:v>
                </c:pt>
                <c:pt idx="6">
                  <c:v>11.748975549395301</c:v>
                </c:pt>
                <c:pt idx="7">
                  <c:v>12.022644346174133</c:v>
                </c:pt>
                <c:pt idx="8">
                  <c:v>12.302687708123818</c:v>
                </c:pt>
                <c:pt idx="9">
                  <c:v>12.58925411794168</c:v>
                </c:pt>
                <c:pt idx="10">
                  <c:v>12.882495516931346</c:v>
                </c:pt>
                <c:pt idx="11">
                  <c:v>13.182567385564075</c:v>
                </c:pt>
                <c:pt idx="12">
                  <c:v>13.489628825916535</c:v>
                </c:pt>
                <c:pt idx="13">
                  <c:v>13.803842646028857</c:v>
                </c:pt>
                <c:pt idx="14">
                  <c:v>14.125375446227544</c:v>
                </c:pt>
                <c:pt idx="15">
                  <c:v>14.454397707459275</c:v>
                </c:pt>
                <c:pt idx="16">
                  <c:v>14.791083881682074</c:v>
                </c:pt>
                <c:pt idx="17">
                  <c:v>15.135612484362087</c:v>
                </c:pt>
                <c:pt idx="18">
                  <c:v>15.488166189124817</c:v>
                </c:pt>
                <c:pt idx="19">
                  <c:v>15.848931924611136</c:v>
                </c:pt>
                <c:pt idx="20">
                  <c:v>16.218100973589298</c:v>
                </c:pt>
                <c:pt idx="21">
                  <c:v>16.595869074375614</c:v>
                </c:pt>
                <c:pt idx="22">
                  <c:v>16.982436524617448</c:v>
                </c:pt>
                <c:pt idx="23">
                  <c:v>17.378008287493756</c:v>
                </c:pt>
                <c:pt idx="24">
                  <c:v>17.782794100389236</c:v>
                </c:pt>
                <c:pt idx="25">
                  <c:v>18.197008586099841</c:v>
                </c:pt>
                <c:pt idx="26">
                  <c:v>18.62087136662868</c:v>
                </c:pt>
                <c:pt idx="27">
                  <c:v>19.054607179632477</c:v>
                </c:pt>
                <c:pt idx="28">
                  <c:v>19.498445997580465</c:v>
                </c:pt>
                <c:pt idx="29">
                  <c:v>19.952623149688804</c:v>
                </c:pt>
                <c:pt idx="30">
                  <c:v>20.4173794466953</c:v>
                </c:pt>
                <c:pt idx="31">
                  <c:v>20.8929613085404</c:v>
                </c:pt>
                <c:pt idx="32">
                  <c:v>21.379620895022335</c:v>
                </c:pt>
                <c:pt idx="33">
                  <c:v>21.877616239495538</c:v>
                </c:pt>
                <c:pt idx="34">
                  <c:v>22.387211385683404</c:v>
                </c:pt>
                <c:pt idx="35">
                  <c:v>22.908676527677727</c:v>
                </c:pt>
                <c:pt idx="36">
                  <c:v>23.442288153199236</c:v>
                </c:pt>
                <c:pt idx="37">
                  <c:v>23.988329190194907</c:v>
                </c:pt>
                <c:pt idx="38">
                  <c:v>24.547089156850316</c:v>
                </c:pt>
                <c:pt idx="39">
                  <c:v>25.118864315095799</c:v>
                </c:pt>
                <c:pt idx="40">
                  <c:v>25.703957827688647</c:v>
                </c:pt>
                <c:pt idx="41">
                  <c:v>26.302679918953825</c:v>
                </c:pt>
                <c:pt idx="42">
                  <c:v>26.915348039269158</c:v>
                </c:pt>
                <c:pt idx="43">
                  <c:v>27.542287033381665</c:v>
                </c:pt>
                <c:pt idx="44">
                  <c:v>28.183829312644548</c:v>
                </c:pt>
                <c:pt idx="45">
                  <c:v>28.840315031266066</c:v>
                </c:pt>
                <c:pt idx="46">
                  <c:v>29.512092266663863</c:v>
                </c:pt>
                <c:pt idx="47">
                  <c:v>30.199517204020164</c:v>
                </c:pt>
                <c:pt idx="48">
                  <c:v>30.902954325135919</c:v>
                </c:pt>
                <c:pt idx="49">
                  <c:v>31.622776601683803</c:v>
                </c:pt>
                <c:pt idx="50">
                  <c:v>32.359365692962832</c:v>
                </c:pt>
                <c:pt idx="51">
                  <c:v>33.113112148259127</c:v>
                </c:pt>
                <c:pt idx="52">
                  <c:v>33.884415613920268</c:v>
                </c:pt>
                <c:pt idx="53">
                  <c:v>34.67368504525318</c:v>
                </c:pt>
                <c:pt idx="54">
                  <c:v>35.481338923357555</c:v>
                </c:pt>
                <c:pt idx="55">
                  <c:v>36.307805477010156</c:v>
                </c:pt>
                <c:pt idx="56">
                  <c:v>37.15352290971726</c:v>
                </c:pt>
                <c:pt idx="57">
                  <c:v>38.018939632056139</c:v>
                </c:pt>
                <c:pt idx="58">
                  <c:v>38.904514499428053</c:v>
                </c:pt>
                <c:pt idx="59">
                  <c:v>39.810717055349755</c:v>
                </c:pt>
                <c:pt idx="60">
                  <c:v>40.738027780411279</c:v>
                </c:pt>
                <c:pt idx="61">
                  <c:v>41.686938347033561</c:v>
                </c:pt>
                <c:pt idx="62">
                  <c:v>42.657951880159267</c:v>
                </c:pt>
                <c:pt idx="63">
                  <c:v>43.651583224016633</c:v>
                </c:pt>
                <c:pt idx="64">
                  <c:v>44.668359215096324</c:v>
                </c:pt>
                <c:pt idx="65">
                  <c:v>45.70881896148753</c:v>
                </c:pt>
                <c:pt idx="66">
                  <c:v>46.773514128719818</c:v>
                </c:pt>
                <c:pt idx="67">
                  <c:v>47.863009232263877</c:v>
                </c:pt>
                <c:pt idx="68">
                  <c:v>48.977881936844632</c:v>
                </c:pt>
                <c:pt idx="69">
                  <c:v>50.118723362727238</c:v>
                </c:pt>
                <c:pt idx="70">
                  <c:v>51.28613839913649</c:v>
                </c:pt>
                <c:pt idx="71">
                  <c:v>52.480746024977286</c:v>
                </c:pt>
                <c:pt idx="72">
                  <c:v>53.703179637025293</c:v>
                </c:pt>
                <c:pt idx="73">
                  <c:v>54.95408738576247</c:v>
                </c:pt>
                <c:pt idx="74">
                  <c:v>56.234132519034915</c:v>
                </c:pt>
                <c:pt idx="75">
                  <c:v>57.543993733715695</c:v>
                </c:pt>
                <c:pt idx="76">
                  <c:v>58.884365535558949</c:v>
                </c:pt>
                <c:pt idx="77">
                  <c:v>60.255958607435822</c:v>
                </c:pt>
                <c:pt idx="78">
                  <c:v>61.659500186148257</c:v>
                </c:pt>
                <c:pt idx="79">
                  <c:v>63.095734448019364</c:v>
                </c:pt>
                <c:pt idx="80">
                  <c:v>64.565422903465588</c:v>
                </c:pt>
                <c:pt idx="81">
                  <c:v>66.069344800759623</c:v>
                </c:pt>
                <c:pt idx="82">
                  <c:v>67.60829753919819</c:v>
                </c:pt>
                <c:pt idx="83">
                  <c:v>69.183097091893657</c:v>
                </c:pt>
                <c:pt idx="84">
                  <c:v>70.794578438413865</c:v>
                </c:pt>
                <c:pt idx="85">
                  <c:v>72.443596007499011</c:v>
                </c:pt>
                <c:pt idx="86">
                  <c:v>74.131024130091816</c:v>
                </c:pt>
                <c:pt idx="87">
                  <c:v>75.857757502918361</c:v>
                </c:pt>
                <c:pt idx="88">
                  <c:v>77.624711662869217</c:v>
                </c:pt>
                <c:pt idx="89">
                  <c:v>79.432823472428197</c:v>
                </c:pt>
                <c:pt idx="90">
                  <c:v>81.283051616409963</c:v>
                </c:pt>
                <c:pt idx="91">
                  <c:v>83.176377110267126</c:v>
                </c:pt>
                <c:pt idx="92">
                  <c:v>85.113803820237734</c:v>
                </c:pt>
                <c:pt idx="93">
                  <c:v>87.096358995608071</c:v>
                </c:pt>
                <c:pt idx="94">
                  <c:v>89.125093813374562</c:v>
                </c:pt>
                <c:pt idx="95">
                  <c:v>91.201083935590972</c:v>
                </c:pt>
                <c:pt idx="96">
                  <c:v>93.325430079699174</c:v>
                </c:pt>
                <c:pt idx="97">
                  <c:v>95.499258602143655</c:v>
                </c:pt>
                <c:pt idx="98">
                  <c:v>97.723722095581124</c:v>
                </c:pt>
                <c:pt idx="99">
                  <c:v>100</c:v>
                </c:pt>
                <c:pt idx="100">
                  <c:v>102.32929922807544</c:v>
                </c:pt>
                <c:pt idx="101">
                  <c:v>104.71285480508998</c:v>
                </c:pt>
                <c:pt idx="102">
                  <c:v>107.15193052376065</c:v>
                </c:pt>
                <c:pt idx="103">
                  <c:v>109.64781961431861</c:v>
                </c:pt>
                <c:pt idx="104">
                  <c:v>112.20184543019634</c:v>
                </c:pt>
                <c:pt idx="105">
                  <c:v>114.81536214968835</c:v>
                </c:pt>
                <c:pt idx="106">
                  <c:v>117.48975549395293</c:v>
                </c:pt>
                <c:pt idx="107">
                  <c:v>120.22644346174135</c:v>
                </c:pt>
                <c:pt idx="108">
                  <c:v>123.02687708123821</c:v>
                </c:pt>
                <c:pt idx="109">
                  <c:v>125.89254117941677</c:v>
                </c:pt>
                <c:pt idx="110">
                  <c:v>128.82495516931343</c:v>
                </c:pt>
                <c:pt idx="111">
                  <c:v>131.82567385564084</c:v>
                </c:pt>
                <c:pt idx="112">
                  <c:v>134.89628825916537</c:v>
                </c:pt>
                <c:pt idx="113">
                  <c:v>138.0384264602886</c:v>
                </c:pt>
                <c:pt idx="114">
                  <c:v>141.25375446227542</c:v>
                </c:pt>
                <c:pt idx="115">
                  <c:v>144.54397707459285</c:v>
                </c:pt>
                <c:pt idx="116">
                  <c:v>147.91083881682084</c:v>
                </c:pt>
                <c:pt idx="117">
                  <c:v>151.3561248436209</c:v>
                </c:pt>
                <c:pt idx="118">
                  <c:v>154.8816618912482</c:v>
                </c:pt>
                <c:pt idx="119">
                  <c:v>158.48931924611153</c:v>
                </c:pt>
                <c:pt idx="120">
                  <c:v>162.18100973589304</c:v>
                </c:pt>
                <c:pt idx="121">
                  <c:v>165.95869074375622</c:v>
                </c:pt>
                <c:pt idx="122">
                  <c:v>169.82436524617444</c:v>
                </c:pt>
                <c:pt idx="123">
                  <c:v>173.78008287493768</c:v>
                </c:pt>
                <c:pt idx="124">
                  <c:v>177.82794100389242</c:v>
                </c:pt>
                <c:pt idx="125">
                  <c:v>181.9700858609983</c:v>
                </c:pt>
                <c:pt idx="126">
                  <c:v>186.20871366628685</c:v>
                </c:pt>
                <c:pt idx="127">
                  <c:v>190.54607179632498</c:v>
                </c:pt>
                <c:pt idx="128">
                  <c:v>194.98445997580458</c:v>
                </c:pt>
                <c:pt idx="129">
                  <c:v>199.52623149688802</c:v>
                </c:pt>
                <c:pt idx="130">
                  <c:v>204.17379446695315</c:v>
                </c:pt>
                <c:pt idx="131">
                  <c:v>208.92961308540396</c:v>
                </c:pt>
                <c:pt idx="132">
                  <c:v>213.79620895022339</c:v>
                </c:pt>
                <c:pt idx="133">
                  <c:v>218.77616239495524</c:v>
                </c:pt>
                <c:pt idx="134">
                  <c:v>223.87211385683412</c:v>
                </c:pt>
                <c:pt idx="135">
                  <c:v>229.08676527677744</c:v>
                </c:pt>
                <c:pt idx="136">
                  <c:v>234.42288153199232</c:v>
                </c:pt>
                <c:pt idx="137">
                  <c:v>239.88329190194912</c:v>
                </c:pt>
                <c:pt idx="138">
                  <c:v>245.4708915685033</c:v>
                </c:pt>
                <c:pt idx="139">
                  <c:v>251.18864315095806</c:v>
                </c:pt>
                <c:pt idx="140">
                  <c:v>257.03957827688663</c:v>
                </c:pt>
                <c:pt idx="141">
                  <c:v>263.02679918953817</c:v>
                </c:pt>
                <c:pt idx="142">
                  <c:v>269.15348039269179</c:v>
                </c:pt>
                <c:pt idx="143">
                  <c:v>275.42287033381683</c:v>
                </c:pt>
                <c:pt idx="144">
                  <c:v>281.83829312644554</c:v>
                </c:pt>
                <c:pt idx="145">
                  <c:v>288.40315031266073</c:v>
                </c:pt>
                <c:pt idx="146">
                  <c:v>295.12092266663871</c:v>
                </c:pt>
                <c:pt idx="147">
                  <c:v>301.99517204020168</c:v>
                </c:pt>
                <c:pt idx="148">
                  <c:v>309.02954325135937</c:v>
                </c:pt>
                <c:pt idx="149">
                  <c:v>316.22776601683825</c:v>
                </c:pt>
                <c:pt idx="150">
                  <c:v>323.59365692962825</c:v>
                </c:pt>
                <c:pt idx="151">
                  <c:v>331.13112148259137</c:v>
                </c:pt>
                <c:pt idx="152">
                  <c:v>338.84415613920277</c:v>
                </c:pt>
                <c:pt idx="153">
                  <c:v>346.73685045253183</c:v>
                </c:pt>
                <c:pt idx="154">
                  <c:v>354.81338923357566</c:v>
                </c:pt>
                <c:pt idx="155">
                  <c:v>363.07805477010152</c:v>
                </c:pt>
                <c:pt idx="156">
                  <c:v>371.53522909717265</c:v>
                </c:pt>
                <c:pt idx="157">
                  <c:v>380.18939632056163</c:v>
                </c:pt>
                <c:pt idx="158">
                  <c:v>389.04514499428063</c:v>
                </c:pt>
                <c:pt idx="159">
                  <c:v>398.10717055349761</c:v>
                </c:pt>
                <c:pt idx="160">
                  <c:v>407.38027780411272</c:v>
                </c:pt>
                <c:pt idx="161">
                  <c:v>416.86938347033572</c:v>
                </c:pt>
                <c:pt idx="162">
                  <c:v>426.57951880159294</c:v>
                </c:pt>
                <c:pt idx="163">
                  <c:v>436.51583224016622</c:v>
                </c:pt>
                <c:pt idx="164">
                  <c:v>446.68359215096331</c:v>
                </c:pt>
                <c:pt idx="165">
                  <c:v>457.0881896148756</c:v>
                </c:pt>
                <c:pt idx="166">
                  <c:v>467.7351412871983</c:v>
                </c:pt>
                <c:pt idx="167">
                  <c:v>478.63009232263886</c:v>
                </c:pt>
                <c:pt idx="168">
                  <c:v>489.77881936844625</c:v>
                </c:pt>
                <c:pt idx="169">
                  <c:v>501.18723362727269</c:v>
                </c:pt>
                <c:pt idx="170">
                  <c:v>512.86138399136519</c:v>
                </c:pt>
                <c:pt idx="171">
                  <c:v>524.80746024977248</c:v>
                </c:pt>
                <c:pt idx="172">
                  <c:v>537.03179637025301</c:v>
                </c:pt>
                <c:pt idx="173">
                  <c:v>549.54087385762534</c:v>
                </c:pt>
                <c:pt idx="174">
                  <c:v>562.34132519034927</c:v>
                </c:pt>
                <c:pt idx="175">
                  <c:v>575.43993733715706</c:v>
                </c:pt>
                <c:pt idx="176">
                  <c:v>588.84365535558959</c:v>
                </c:pt>
                <c:pt idx="177">
                  <c:v>602.55958607435832</c:v>
                </c:pt>
                <c:pt idx="178">
                  <c:v>616.59500186148273</c:v>
                </c:pt>
                <c:pt idx="179">
                  <c:v>630.95734448019323</c:v>
                </c:pt>
                <c:pt idx="180">
                  <c:v>645.65422903465594</c:v>
                </c:pt>
                <c:pt idx="181">
                  <c:v>660.69344800759643</c:v>
                </c:pt>
                <c:pt idx="182">
                  <c:v>676.08297539198213</c:v>
                </c:pt>
                <c:pt idx="183">
                  <c:v>691.83097091893671</c:v>
                </c:pt>
                <c:pt idx="184">
                  <c:v>707.94578438413873</c:v>
                </c:pt>
                <c:pt idx="185">
                  <c:v>724.43596007499025</c:v>
                </c:pt>
                <c:pt idx="186">
                  <c:v>741.31024130091828</c:v>
                </c:pt>
                <c:pt idx="187">
                  <c:v>758.57757502918378</c:v>
                </c:pt>
                <c:pt idx="188">
                  <c:v>776.24711662869231</c:v>
                </c:pt>
                <c:pt idx="189">
                  <c:v>794.32823472428208</c:v>
                </c:pt>
                <c:pt idx="190">
                  <c:v>812.83051616409978</c:v>
                </c:pt>
                <c:pt idx="191">
                  <c:v>831.7637711026714</c:v>
                </c:pt>
                <c:pt idx="192">
                  <c:v>851.13803820237763</c:v>
                </c:pt>
                <c:pt idx="193">
                  <c:v>870.96358995608091</c:v>
                </c:pt>
                <c:pt idx="194">
                  <c:v>891.25093813374656</c:v>
                </c:pt>
                <c:pt idx="195">
                  <c:v>912.01083935590987</c:v>
                </c:pt>
                <c:pt idx="196">
                  <c:v>933.25430079699106</c:v>
                </c:pt>
                <c:pt idx="197">
                  <c:v>954.99258602143675</c:v>
                </c:pt>
                <c:pt idx="198">
                  <c:v>977.23722095581138</c:v>
                </c:pt>
                <c:pt idx="199">
                  <c:v>1000</c:v>
                </c:pt>
                <c:pt idx="200">
                  <c:v>1023.2929922807547</c:v>
                </c:pt>
                <c:pt idx="201">
                  <c:v>1047.1285480509</c:v>
                </c:pt>
                <c:pt idx="202">
                  <c:v>1071.5193052376069</c:v>
                </c:pt>
                <c:pt idx="203">
                  <c:v>1096.4781961431863</c:v>
                </c:pt>
                <c:pt idx="204">
                  <c:v>1122.0184543019636</c:v>
                </c:pt>
                <c:pt idx="205">
                  <c:v>1148.1536214968839</c:v>
                </c:pt>
                <c:pt idx="206">
                  <c:v>1174.8975549395295</c:v>
                </c:pt>
                <c:pt idx="207">
                  <c:v>1202.2644346174138</c:v>
                </c:pt>
                <c:pt idx="208">
                  <c:v>1230.2687708123824</c:v>
                </c:pt>
                <c:pt idx="209">
                  <c:v>1258.925411794168</c:v>
                </c:pt>
                <c:pt idx="210">
                  <c:v>1288.2495516931347</c:v>
                </c:pt>
                <c:pt idx="211">
                  <c:v>1318.2567385564089</c:v>
                </c:pt>
                <c:pt idx="212">
                  <c:v>1348.9628825916541</c:v>
                </c:pt>
                <c:pt idx="213">
                  <c:v>1380.3842646028863</c:v>
                </c:pt>
                <c:pt idx="214">
                  <c:v>1412.5375446227545</c:v>
                </c:pt>
                <c:pt idx="215">
                  <c:v>1445.4397707459289</c:v>
                </c:pt>
                <c:pt idx="216">
                  <c:v>1479.1083881682086</c:v>
                </c:pt>
                <c:pt idx="217">
                  <c:v>1513.5612484362093</c:v>
                </c:pt>
                <c:pt idx="218">
                  <c:v>1548.8166189124822</c:v>
                </c:pt>
                <c:pt idx="219">
                  <c:v>1584.8931924611156</c:v>
                </c:pt>
                <c:pt idx="220">
                  <c:v>1621.8100973589308</c:v>
                </c:pt>
                <c:pt idx="221">
                  <c:v>1659.5869074375626</c:v>
                </c:pt>
                <c:pt idx="222">
                  <c:v>1698.2436524617447</c:v>
                </c:pt>
                <c:pt idx="223">
                  <c:v>1737.8008287493772</c:v>
                </c:pt>
                <c:pt idx="224">
                  <c:v>1778.2794100389244</c:v>
                </c:pt>
                <c:pt idx="225">
                  <c:v>1819.7008586099832</c:v>
                </c:pt>
                <c:pt idx="226">
                  <c:v>1862.0871366628687</c:v>
                </c:pt>
                <c:pt idx="227">
                  <c:v>1905.4607179632501</c:v>
                </c:pt>
                <c:pt idx="228">
                  <c:v>1949.8445997580463</c:v>
                </c:pt>
                <c:pt idx="229">
                  <c:v>1995.2623149688804</c:v>
                </c:pt>
                <c:pt idx="230">
                  <c:v>2041.7379446695318</c:v>
                </c:pt>
                <c:pt idx="231">
                  <c:v>2089.2961308540398</c:v>
                </c:pt>
                <c:pt idx="232">
                  <c:v>2137.9620895022344</c:v>
                </c:pt>
                <c:pt idx="233">
                  <c:v>2187.7616239495528</c:v>
                </c:pt>
                <c:pt idx="234">
                  <c:v>2238.7211385683418</c:v>
                </c:pt>
                <c:pt idx="235">
                  <c:v>2290.8676527677749</c:v>
                </c:pt>
                <c:pt idx="236">
                  <c:v>2344.2288153199238</c:v>
                </c:pt>
                <c:pt idx="237">
                  <c:v>2398.8329190194918</c:v>
                </c:pt>
                <c:pt idx="238">
                  <c:v>2454.7089156850338</c:v>
                </c:pt>
                <c:pt idx="239">
                  <c:v>2511.8864315095811</c:v>
                </c:pt>
                <c:pt idx="240">
                  <c:v>2570.3957827688669</c:v>
                </c:pt>
                <c:pt idx="241">
                  <c:v>2630.2679918953822</c:v>
                </c:pt>
                <c:pt idx="242">
                  <c:v>2691.5348039269184</c:v>
                </c:pt>
                <c:pt idx="243">
                  <c:v>2754.228703338169</c:v>
                </c:pt>
                <c:pt idx="244">
                  <c:v>2818.3829312644561</c:v>
                </c:pt>
                <c:pt idx="245">
                  <c:v>2884.0315031266077</c:v>
                </c:pt>
                <c:pt idx="246">
                  <c:v>2951.2092266663876</c:v>
                </c:pt>
                <c:pt idx="247">
                  <c:v>3019.9517204020176</c:v>
                </c:pt>
                <c:pt idx="248">
                  <c:v>3090.295432513592</c:v>
                </c:pt>
                <c:pt idx="249">
                  <c:v>3162.2776601683804</c:v>
                </c:pt>
                <c:pt idx="250">
                  <c:v>3235.9365692962833</c:v>
                </c:pt>
                <c:pt idx="251">
                  <c:v>3311.3112148259115</c:v>
                </c:pt>
                <c:pt idx="252">
                  <c:v>3388.4415613920314</c:v>
                </c:pt>
                <c:pt idx="253">
                  <c:v>3467.3685045253224</c:v>
                </c:pt>
                <c:pt idx="254">
                  <c:v>3548.1338923357539</c:v>
                </c:pt>
                <c:pt idx="255">
                  <c:v>3630.7805477010188</c:v>
                </c:pt>
                <c:pt idx="256">
                  <c:v>3715.352290971724</c:v>
                </c:pt>
                <c:pt idx="257">
                  <c:v>3801.8939632056172</c:v>
                </c:pt>
                <c:pt idx="258">
                  <c:v>3890.451449942811</c:v>
                </c:pt>
                <c:pt idx="259">
                  <c:v>3981.0717055349769</c:v>
                </c:pt>
                <c:pt idx="260">
                  <c:v>4073.8027780411317</c:v>
                </c:pt>
                <c:pt idx="261">
                  <c:v>4168.6938347033583</c:v>
                </c:pt>
                <c:pt idx="262">
                  <c:v>4265.7951880159299</c:v>
                </c:pt>
                <c:pt idx="263">
                  <c:v>4365.1583224016631</c:v>
                </c:pt>
                <c:pt idx="264">
                  <c:v>4466.8359215096343</c:v>
                </c:pt>
                <c:pt idx="265">
                  <c:v>4570.8818961487532</c:v>
                </c:pt>
                <c:pt idx="266">
                  <c:v>4677.3514128719844</c:v>
                </c:pt>
                <c:pt idx="267">
                  <c:v>4786.3009232263848</c:v>
                </c:pt>
                <c:pt idx="268">
                  <c:v>4897.7881936844633</c:v>
                </c:pt>
                <c:pt idx="269">
                  <c:v>5011.8723362727324</c:v>
                </c:pt>
                <c:pt idx="270">
                  <c:v>5128.6138399136489</c:v>
                </c:pt>
                <c:pt idx="271">
                  <c:v>5248.0746024977261</c:v>
                </c:pt>
                <c:pt idx="272">
                  <c:v>5370.3179637025269</c:v>
                </c:pt>
                <c:pt idx="273">
                  <c:v>5495.4087385762541</c:v>
                </c:pt>
                <c:pt idx="274">
                  <c:v>5623.4132519034993</c:v>
                </c:pt>
                <c:pt idx="275">
                  <c:v>5754.399373371567</c:v>
                </c:pt>
                <c:pt idx="276">
                  <c:v>5888.4365535558973</c:v>
                </c:pt>
                <c:pt idx="277">
                  <c:v>6025.595860743585</c:v>
                </c:pt>
                <c:pt idx="278">
                  <c:v>6165.9500186148289</c:v>
                </c:pt>
                <c:pt idx="279">
                  <c:v>6309.5734448019384</c:v>
                </c:pt>
                <c:pt idx="280">
                  <c:v>6456.5422903465615</c:v>
                </c:pt>
                <c:pt idx="281">
                  <c:v>6606.9344800759654</c:v>
                </c:pt>
                <c:pt idx="282">
                  <c:v>6760.8297539198229</c:v>
                </c:pt>
                <c:pt idx="283">
                  <c:v>6918.3097091893687</c:v>
                </c:pt>
                <c:pt idx="284">
                  <c:v>7079.4578438413828</c:v>
                </c:pt>
                <c:pt idx="285">
                  <c:v>7244.3596007499036</c:v>
                </c:pt>
                <c:pt idx="286">
                  <c:v>7413.1024130091773</c:v>
                </c:pt>
                <c:pt idx="287">
                  <c:v>7585.7757502918394</c:v>
                </c:pt>
                <c:pt idx="288">
                  <c:v>7762.4711662869322</c:v>
                </c:pt>
                <c:pt idx="289">
                  <c:v>7943.2823472428154</c:v>
                </c:pt>
                <c:pt idx="290">
                  <c:v>8128.3051616410066</c:v>
                </c:pt>
                <c:pt idx="291">
                  <c:v>8317.6377110267094</c:v>
                </c:pt>
                <c:pt idx="292">
                  <c:v>8511.3803820237772</c:v>
                </c:pt>
                <c:pt idx="293">
                  <c:v>8709.6358995608189</c:v>
                </c:pt>
                <c:pt idx="294">
                  <c:v>8912.5093813374679</c:v>
                </c:pt>
                <c:pt idx="295">
                  <c:v>9120.1083935591087</c:v>
                </c:pt>
                <c:pt idx="296">
                  <c:v>9332.5430079699217</c:v>
                </c:pt>
                <c:pt idx="297">
                  <c:v>9549.9258602143691</c:v>
                </c:pt>
                <c:pt idx="298">
                  <c:v>9772.3722095581161</c:v>
                </c:pt>
                <c:pt idx="299">
                  <c:v>10000</c:v>
                </c:pt>
                <c:pt idx="300">
                  <c:v>10232.929922807549</c:v>
                </c:pt>
                <c:pt idx="301">
                  <c:v>10471.285480509003</c:v>
                </c:pt>
                <c:pt idx="302">
                  <c:v>10715.193052376071</c:v>
                </c:pt>
                <c:pt idx="303">
                  <c:v>10964.781961431856</c:v>
                </c:pt>
                <c:pt idx="304">
                  <c:v>11220.184543019639</c:v>
                </c:pt>
                <c:pt idx="305">
                  <c:v>11481.536214968832</c:v>
                </c:pt>
                <c:pt idx="306">
                  <c:v>11748.975549395318</c:v>
                </c:pt>
                <c:pt idx="307">
                  <c:v>12022.644346174151</c:v>
                </c:pt>
                <c:pt idx="308">
                  <c:v>12302.687708123816</c:v>
                </c:pt>
                <c:pt idx="309">
                  <c:v>12589.254117941671</c:v>
                </c:pt>
                <c:pt idx="310">
                  <c:v>12882.49551693136</c:v>
                </c:pt>
                <c:pt idx="311">
                  <c:v>13182.567385564091</c:v>
                </c:pt>
                <c:pt idx="312">
                  <c:v>13489.628825916556</c:v>
                </c:pt>
                <c:pt idx="313">
                  <c:v>13803.842646028841</c:v>
                </c:pt>
                <c:pt idx="314">
                  <c:v>14125.375446227561</c:v>
                </c:pt>
                <c:pt idx="315">
                  <c:v>14454.397707459291</c:v>
                </c:pt>
                <c:pt idx="316">
                  <c:v>14791.083881682089</c:v>
                </c:pt>
                <c:pt idx="317">
                  <c:v>15135.612484362096</c:v>
                </c:pt>
                <c:pt idx="318">
                  <c:v>15488.166189124853</c:v>
                </c:pt>
                <c:pt idx="319">
                  <c:v>15848.931924611146</c:v>
                </c:pt>
                <c:pt idx="320">
                  <c:v>16218.100973589309</c:v>
                </c:pt>
                <c:pt idx="321">
                  <c:v>16595.869074375616</c:v>
                </c:pt>
                <c:pt idx="322">
                  <c:v>16982.436524617482</c:v>
                </c:pt>
                <c:pt idx="323">
                  <c:v>17378.008287493791</c:v>
                </c:pt>
                <c:pt idx="324">
                  <c:v>17782.794100389234</c:v>
                </c:pt>
                <c:pt idx="325">
                  <c:v>18197.008586099837</c:v>
                </c:pt>
                <c:pt idx="326">
                  <c:v>18620.871366628675</c:v>
                </c:pt>
                <c:pt idx="327">
                  <c:v>19054.607179632505</c:v>
                </c:pt>
                <c:pt idx="328">
                  <c:v>19498.445997580486</c:v>
                </c:pt>
                <c:pt idx="329">
                  <c:v>19952.623149688792</c:v>
                </c:pt>
                <c:pt idx="330">
                  <c:v>20417.379446695286</c:v>
                </c:pt>
                <c:pt idx="331">
                  <c:v>20892.961308540423</c:v>
                </c:pt>
                <c:pt idx="332">
                  <c:v>21379.620895022348</c:v>
                </c:pt>
                <c:pt idx="333">
                  <c:v>21877.61623949555</c:v>
                </c:pt>
                <c:pt idx="334">
                  <c:v>22387.211385683382</c:v>
                </c:pt>
                <c:pt idx="335">
                  <c:v>22908.676527677751</c:v>
                </c:pt>
                <c:pt idx="336">
                  <c:v>23442.288153199243</c:v>
                </c:pt>
                <c:pt idx="337">
                  <c:v>23988.329190194923</c:v>
                </c:pt>
                <c:pt idx="338">
                  <c:v>24547.089156850321</c:v>
                </c:pt>
                <c:pt idx="339">
                  <c:v>25118.86431509586</c:v>
                </c:pt>
                <c:pt idx="340">
                  <c:v>25703.95782768865</c:v>
                </c:pt>
                <c:pt idx="341">
                  <c:v>26302.679918953829</c:v>
                </c:pt>
                <c:pt idx="342">
                  <c:v>26915.348039269167</c:v>
                </c:pt>
                <c:pt idx="343">
                  <c:v>27542.287033381719</c:v>
                </c:pt>
                <c:pt idx="344">
                  <c:v>28183.829312644593</c:v>
                </c:pt>
                <c:pt idx="345">
                  <c:v>28840.315031266062</c:v>
                </c:pt>
                <c:pt idx="346">
                  <c:v>29512.092266663854</c:v>
                </c:pt>
                <c:pt idx="347">
                  <c:v>30199.517204020212</c:v>
                </c:pt>
                <c:pt idx="348">
                  <c:v>30902.954325135954</c:v>
                </c:pt>
                <c:pt idx="349">
                  <c:v>31622.77660168384</c:v>
                </c:pt>
                <c:pt idx="350">
                  <c:v>32359.365692962871</c:v>
                </c:pt>
                <c:pt idx="351">
                  <c:v>33113.11214825909</c:v>
                </c:pt>
                <c:pt idx="352">
                  <c:v>33884.41561392029</c:v>
                </c:pt>
                <c:pt idx="353">
                  <c:v>34673.685045253202</c:v>
                </c:pt>
                <c:pt idx="354">
                  <c:v>35481.33892335758</c:v>
                </c:pt>
                <c:pt idx="355">
                  <c:v>36307.805477010232</c:v>
                </c:pt>
                <c:pt idx="356">
                  <c:v>37153.522909717351</c:v>
                </c:pt>
                <c:pt idx="357">
                  <c:v>38018.939632056143</c:v>
                </c:pt>
                <c:pt idx="358">
                  <c:v>38904.514499428085</c:v>
                </c:pt>
                <c:pt idx="359">
                  <c:v>39810.717055349742</c:v>
                </c:pt>
                <c:pt idx="360">
                  <c:v>40738.027780411358</c:v>
                </c:pt>
                <c:pt idx="361">
                  <c:v>41686.938347033625</c:v>
                </c:pt>
                <c:pt idx="362">
                  <c:v>42657.951880159271</c:v>
                </c:pt>
                <c:pt idx="363">
                  <c:v>43651.583224016598</c:v>
                </c:pt>
                <c:pt idx="364">
                  <c:v>44668.359215096389</c:v>
                </c:pt>
                <c:pt idx="365">
                  <c:v>45708.818961487581</c:v>
                </c:pt>
                <c:pt idx="366">
                  <c:v>46773.514128719893</c:v>
                </c:pt>
                <c:pt idx="367">
                  <c:v>47863.009232263823</c:v>
                </c:pt>
                <c:pt idx="368">
                  <c:v>48977.881936844598</c:v>
                </c:pt>
                <c:pt idx="369">
                  <c:v>50118.723362727294</c:v>
                </c:pt>
                <c:pt idx="370">
                  <c:v>51286.138399136544</c:v>
                </c:pt>
                <c:pt idx="371">
                  <c:v>52480.746024977314</c:v>
                </c:pt>
                <c:pt idx="372">
                  <c:v>53703.179637025423</c:v>
                </c:pt>
                <c:pt idx="373">
                  <c:v>54954.087385762505</c:v>
                </c:pt>
                <c:pt idx="374">
                  <c:v>56234.132519034953</c:v>
                </c:pt>
                <c:pt idx="375">
                  <c:v>57543.993733715732</c:v>
                </c:pt>
                <c:pt idx="376">
                  <c:v>58884.365535558936</c:v>
                </c:pt>
                <c:pt idx="377">
                  <c:v>60255.95860743591</c:v>
                </c:pt>
                <c:pt idx="378">
                  <c:v>61659.500186148245</c:v>
                </c:pt>
                <c:pt idx="379">
                  <c:v>63095.734448019342</c:v>
                </c:pt>
                <c:pt idx="380">
                  <c:v>64565.422903465682</c:v>
                </c:pt>
                <c:pt idx="381">
                  <c:v>66069.344800759733</c:v>
                </c:pt>
                <c:pt idx="382">
                  <c:v>67608.297539198305</c:v>
                </c:pt>
                <c:pt idx="383">
                  <c:v>69183.097091893651</c:v>
                </c:pt>
                <c:pt idx="384">
                  <c:v>70794.578438413781</c:v>
                </c:pt>
                <c:pt idx="385">
                  <c:v>72443.596007499116</c:v>
                </c:pt>
                <c:pt idx="386">
                  <c:v>74131.024130091857</c:v>
                </c:pt>
                <c:pt idx="387">
                  <c:v>75857.757502918481</c:v>
                </c:pt>
                <c:pt idx="388">
                  <c:v>77624.711662869129</c:v>
                </c:pt>
                <c:pt idx="389">
                  <c:v>79432.823472428237</c:v>
                </c:pt>
                <c:pt idx="390">
                  <c:v>81283.051616410012</c:v>
                </c:pt>
                <c:pt idx="391">
                  <c:v>83176.377110267174</c:v>
                </c:pt>
                <c:pt idx="392">
                  <c:v>85113.803820237721</c:v>
                </c:pt>
                <c:pt idx="393">
                  <c:v>87096.358995608127</c:v>
                </c:pt>
                <c:pt idx="394">
                  <c:v>89125.093813374609</c:v>
                </c:pt>
                <c:pt idx="395">
                  <c:v>91201.083935591028</c:v>
                </c:pt>
                <c:pt idx="396">
                  <c:v>93325.430079699145</c:v>
                </c:pt>
                <c:pt idx="397">
                  <c:v>95499.258602143804</c:v>
                </c:pt>
                <c:pt idx="398">
                  <c:v>97723.722095581266</c:v>
                </c:pt>
                <c:pt idx="399">
                  <c:v>100000</c:v>
                </c:pt>
                <c:pt idx="400">
                  <c:v>102329.29922807543</c:v>
                </c:pt>
                <c:pt idx="401">
                  <c:v>104712.85480508996</c:v>
                </c:pt>
                <c:pt idx="402">
                  <c:v>107151.93052376082</c:v>
                </c:pt>
                <c:pt idx="403">
                  <c:v>109647.81961431868</c:v>
                </c:pt>
                <c:pt idx="404">
                  <c:v>112201.84543019651</c:v>
                </c:pt>
                <c:pt idx="405">
                  <c:v>114815.36214968823</c:v>
                </c:pt>
                <c:pt idx="406">
                  <c:v>117489.75549395311</c:v>
                </c:pt>
                <c:pt idx="407">
                  <c:v>120226.44346174144</c:v>
                </c:pt>
                <c:pt idx="408">
                  <c:v>123026.87708123829</c:v>
                </c:pt>
                <c:pt idx="409">
                  <c:v>125892.54117941685</c:v>
                </c:pt>
                <c:pt idx="410">
                  <c:v>128824.95516931375</c:v>
                </c:pt>
                <c:pt idx="411">
                  <c:v>131825.67385564081</c:v>
                </c:pt>
                <c:pt idx="412">
                  <c:v>134896.28825916545</c:v>
                </c:pt>
                <c:pt idx="413">
                  <c:v>138038.42646028858</c:v>
                </c:pt>
                <c:pt idx="414">
                  <c:v>141253.75446227577</c:v>
                </c:pt>
                <c:pt idx="415">
                  <c:v>144543.97707459307</c:v>
                </c:pt>
                <c:pt idx="416">
                  <c:v>147910.83881682079</c:v>
                </c:pt>
                <c:pt idx="417">
                  <c:v>151356.12484362084</c:v>
                </c:pt>
                <c:pt idx="418">
                  <c:v>154881.66189124843</c:v>
                </c:pt>
                <c:pt idx="419">
                  <c:v>158489.31924611164</c:v>
                </c:pt>
                <c:pt idx="420">
                  <c:v>162181.00973589328</c:v>
                </c:pt>
                <c:pt idx="421">
                  <c:v>165958.69074375604</c:v>
                </c:pt>
                <c:pt idx="422">
                  <c:v>169824.36524617471</c:v>
                </c:pt>
                <c:pt idx="423">
                  <c:v>173780.0828749378</c:v>
                </c:pt>
                <c:pt idx="424">
                  <c:v>177827.94100389251</c:v>
                </c:pt>
                <c:pt idx="425">
                  <c:v>181970.08586099857</c:v>
                </c:pt>
                <c:pt idx="426">
                  <c:v>186208.71366628664</c:v>
                </c:pt>
                <c:pt idx="427">
                  <c:v>190546.07179632492</c:v>
                </c:pt>
                <c:pt idx="428">
                  <c:v>194984.45997580473</c:v>
                </c:pt>
                <c:pt idx="429">
                  <c:v>199526.23149688813</c:v>
                </c:pt>
                <c:pt idx="430">
                  <c:v>204173.79446695308</c:v>
                </c:pt>
                <c:pt idx="431">
                  <c:v>208929.61308540447</c:v>
                </c:pt>
                <c:pt idx="432">
                  <c:v>213796.20895022334</c:v>
                </c:pt>
                <c:pt idx="433">
                  <c:v>218776.16239495538</c:v>
                </c:pt>
                <c:pt idx="434">
                  <c:v>223872.11385683404</c:v>
                </c:pt>
                <c:pt idx="435">
                  <c:v>229086.76527677779</c:v>
                </c:pt>
                <c:pt idx="436">
                  <c:v>234422.88153199267</c:v>
                </c:pt>
                <c:pt idx="437">
                  <c:v>239883.29190194907</c:v>
                </c:pt>
                <c:pt idx="438">
                  <c:v>245470.89156850305</c:v>
                </c:pt>
                <c:pt idx="439">
                  <c:v>251188.64315095844</c:v>
                </c:pt>
                <c:pt idx="440">
                  <c:v>257039.57827688678</c:v>
                </c:pt>
                <c:pt idx="441">
                  <c:v>263026.79918953858</c:v>
                </c:pt>
                <c:pt idx="442">
                  <c:v>269153.48039269145</c:v>
                </c:pt>
                <c:pt idx="443">
                  <c:v>275422.87033381703</c:v>
                </c:pt>
                <c:pt idx="444">
                  <c:v>281838.29312644573</c:v>
                </c:pt>
                <c:pt idx="445">
                  <c:v>288403.1503126609</c:v>
                </c:pt>
                <c:pt idx="446">
                  <c:v>295120.92266663886</c:v>
                </c:pt>
                <c:pt idx="447">
                  <c:v>301995.17204020242</c:v>
                </c:pt>
                <c:pt idx="448">
                  <c:v>309029.54325135931</c:v>
                </c:pt>
                <c:pt idx="449">
                  <c:v>316227.7660168382</c:v>
                </c:pt>
                <c:pt idx="450">
                  <c:v>323593.65692962846</c:v>
                </c:pt>
                <c:pt idx="451">
                  <c:v>331131.12148259126</c:v>
                </c:pt>
                <c:pt idx="452">
                  <c:v>338844.15613920329</c:v>
                </c:pt>
                <c:pt idx="453">
                  <c:v>346736.85045253241</c:v>
                </c:pt>
                <c:pt idx="454">
                  <c:v>354813.38923357555</c:v>
                </c:pt>
                <c:pt idx="455">
                  <c:v>363078.05477010203</c:v>
                </c:pt>
                <c:pt idx="456">
                  <c:v>371535.2290971732</c:v>
                </c:pt>
                <c:pt idx="457">
                  <c:v>380189.39632056188</c:v>
                </c:pt>
                <c:pt idx="458">
                  <c:v>389045.14499428123</c:v>
                </c:pt>
                <c:pt idx="459">
                  <c:v>398107.17055349716</c:v>
                </c:pt>
                <c:pt idx="460">
                  <c:v>407380.27780411334</c:v>
                </c:pt>
                <c:pt idx="461">
                  <c:v>416869.38347033598</c:v>
                </c:pt>
                <c:pt idx="462">
                  <c:v>426579.51880159322</c:v>
                </c:pt>
                <c:pt idx="463">
                  <c:v>436515.83224016649</c:v>
                </c:pt>
                <c:pt idx="464">
                  <c:v>446683.59215096442</c:v>
                </c:pt>
                <c:pt idx="465">
                  <c:v>457088.18961487547</c:v>
                </c:pt>
                <c:pt idx="466">
                  <c:v>467735.14128719864</c:v>
                </c:pt>
                <c:pt idx="467">
                  <c:v>478630.09232263872</c:v>
                </c:pt>
                <c:pt idx="468">
                  <c:v>489778.81936844654</c:v>
                </c:pt>
                <c:pt idx="469">
                  <c:v>501187.23362727347</c:v>
                </c:pt>
                <c:pt idx="470">
                  <c:v>512861.38399136515</c:v>
                </c:pt>
                <c:pt idx="471">
                  <c:v>524807.46024977288</c:v>
                </c:pt>
                <c:pt idx="472">
                  <c:v>537031.7963702539</c:v>
                </c:pt>
                <c:pt idx="473">
                  <c:v>549540.87385762564</c:v>
                </c:pt>
                <c:pt idx="474">
                  <c:v>562341.32519035018</c:v>
                </c:pt>
                <c:pt idx="475">
                  <c:v>575439.93733715697</c:v>
                </c:pt>
                <c:pt idx="476">
                  <c:v>588843.65535558888</c:v>
                </c:pt>
                <c:pt idx="477">
                  <c:v>602559.58607435878</c:v>
                </c:pt>
                <c:pt idx="478">
                  <c:v>616595.00186148309</c:v>
                </c:pt>
                <c:pt idx="479">
                  <c:v>630957.34448019415</c:v>
                </c:pt>
                <c:pt idx="480">
                  <c:v>645654.22903465747</c:v>
                </c:pt>
                <c:pt idx="481">
                  <c:v>660693.44800759677</c:v>
                </c:pt>
                <c:pt idx="482">
                  <c:v>676082.97539198259</c:v>
                </c:pt>
                <c:pt idx="483">
                  <c:v>691830.97091893724</c:v>
                </c:pt>
                <c:pt idx="484">
                  <c:v>707945.78438413853</c:v>
                </c:pt>
                <c:pt idx="485">
                  <c:v>724435.96007499192</c:v>
                </c:pt>
                <c:pt idx="486">
                  <c:v>741310.24130091805</c:v>
                </c:pt>
                <c:pt idx="487">
                  <c:v>758577.57502918423</c:v>
                </c:pt>
                <c:pt idx="488">
                  <c:v>776247.11662869214</c:v>
                </c:pt>
                <c:pt idx="489">
                  <c:v>794328.23472428333</c:v>
                </c:pt>
                <c:pt idx="490">
                  <c:v>812830.51616410096</c:v>
                </c:pt>
                <c:pt idx="491">
                  <c:v>831763.77110267128</c:v>
                </c:pt>
                <c:pt idx="492">
                  <c:v>851138.03820237669</c:v>
                </c:pt>
                <c:pt idx="493">
                  <c:v>870963.58995608077</c:v>
                </c:pt>
                <c:pt idx="494">
                  <c:v>891250.93813374708</c:v>
                </c:pt>
                <c:pt idx="495">
                  <c:v>912010.83935591124</c:v>
                </c:pt>
                <c:pt idx="496">
                  <c:v>933254.30079699249</c:v>
                </c:pt>
                <c:pt idx="497">
                  <c:v>954992.58602143743</c:v>
                </c:pt>
                <c:pt idx="498">
                  <c:v>977237.22095581202</c:v>
                </c:pt>
                <c:pt idx="499">
                  <c:v>1000000</c:v>
                </c:pt>
                <c:pt idx="500">
                  <c:v>1023292.9922807553</c:v>
                </c:pt>
                <c:pt idx="501">
                  <c:v>1047128.5480509007</c:v>
                </c:pt>
                <c:pt idx="502">
                  <c:v>1071519.3052376076</c:v>
                </c:pt>
                <c:pt idx="503">
                  <c:v>1096478.196143186</c:v>
                </c:pt>
                <c:pt idx="504">
                  <c:v>1122018.4543019643</c:v>
                </c:pt>
                <c:pt idx="505">
                  <c:v>1148153.6214968837</c:v>
                </c:pt>
                <c:pt idx="506">
                  <c:v>1174897.5549395324</c:v>
                </c:pt>
                <c:pt idx="507">
                  <c:v>1202264.4346174158</c:v>
                </c:pt>
                <c:pt idx="508">
                  <c:v>1230268.770812382</c:v>
                </c:pt>
                <c:pt idx="509">
                  <c:v>1258925.4117941677</c:v>
                </c:pt>
                <c:pt idx="510">
                  <c:v>1288249.5516931366</c:v>
                </c:pt>
                <c:pt idx="511">
                  <c:v>1318256.7385564097</c:v>
                </c:pt>
                <c:pt idx="512">
                  <c:v>1348962.8825916562</c:v>
                </c:pt>
                <c:pt idx="513">
                  <c:v>1380384.2646028849</c:v>
                </c:pt>
                <c:pt idx="514">
                  <c:v>1412537.5446227565</c:v>
                </c:pt>
                <c:pt idx="515">
                  <c:v>1445439.7707459298</c:v>
                </c:pt>
                <c:pt idx="516">
                  <c:v>1479108.3881682095</c:v>
                </c:pt>
                <c:pt idx="517">
                  <c:v>1513561.2484362102</c:v>
                </c:pt>
                <c:pt idx="518">
                  <c:v>1548816.6189124861</c:v>
                </c:pt>
                <c:pt idx="519">
                  <c:v>1584893.1924611153</c:v>
                </c:pt>
                <c:pt idx="520">
                  <c:v>1621810.0973589318</c:v>
                </c:pt>
                <c:pt idx="521">
                  <c:v>1659586.9074375622</c:v>
                </c:pt>
                <c:pt idx="522">
                  <c:v>1698243.6524617488</c:v>
                </c:pt>
                <c:pt idx="523">
                  <c:v>1737800.8287493798</c:v>
                </c:pt>
                <c:pt idx="524">
                  <c:v>1778279.4100389241</c:v>
                </c:pt>
                <c:pt idx="525">
                  <c:v>1819700.8586099846</c:v>
                </c:pt>
                <c:pt idx="526">
                  <c:v>1862087.1366628683</c:v>
                </c:pt>
                <c:pt idx="527">
                  <c:v>1905460.7179632513</c:v>
                </c:pt>
                <c:pt idx="528">
                  <c:v>1949844.5997580495</c:v>
                </c:pt>
                <c:pt idx="529">
                  <c:v>1995262.31496888</c:v>
                </c:pt>
                <c:pt idx="530">
                  <c:v>2041737.9446695296</c:v>
                </c:pt>
                <c:pt idx="531">
                  <c:v>2089296.1308540432</c:v>
                </c:pt>
                <c:pt idx="532">
                  <c:v>2137962.0895022359</c:v>
                </c:pt>
                <c:pt idx="533">
                  <c:v>2187761.6239495561</c:v>
                </c:pt>
                <c:pt idx="534">
                  <c:v>2238721.1385683389</c:v>
                </c:pt>
                <c:pt idx="535">
                  <c:v>2290867.6527677765</c:v>
                </c:pt>
                <c:pt idx="536">
                  <c:v>2344228.8153199251</c:v>
                </c:pt>
                <c:pt idx="537">
                  <c:v>2398832.9190194933</c:v>
                </c:pt>
                <c:pt idx="538">
                  <c:v>2454708.915685033</c:v>
                </c:pt>
                <c:pt idx="539">
                  <c:v>2511886.431509587</c:v>
                </c:pt>
                <c:pt idx="540">
                  <c:v>2570395.782768866</c:v>
                </c:pt>
                <c:pt idx="541">
                  <c:v>2630267.9918953842</c:v>
                </c:pt>
              </c:numCache>
            </c:numRef>
          </c:xVal>
          <c:yVal>
            <c:numRef>
              <c:f>Loop_Modeling!$AU$19:$AU$560</c:f>
              <c:numCache>
                <c:formatCode>General</c:formatCode>
                <c:ptCount val="542"/>
                <c:pt idx="0">
                  <c:v>83.191475798228751</c:v>
                </c:pt>
                <c:pt idx="1">
                  <c:v>83.03668313022844</c:v>
                </c:pt>
                <c:pt idx="2">
                  <c:v>82.878550302310742</c:v>
                </c:pt>
                <c:pt idx="3">
                  <c:v>82.71701775501279</c:v>
                </c:pt>
                <c:pt idx="4">
                  <c:v>82.552025759219148</c:v>
                </c:pt>
                <c:pt idx="5">
                  <c:v>82.383514489223089</c:v>
                </c:pt>
                <c:pt idx="6">
                  <c:v>82.211424101861198</c:v>
                </c:pt>
                <c:pt idx="7">
                  <c:v>82.035694822050644</c:v>
                </c:pt>
                <c:pt idx="8">
                  <c:v>81.856267035066793</c:v>
                </c:pt>
                <c:pt idx="9">
                  <c:v>81.673081385909128</c:v>
                </c:pt>
                <c:pt idx="10">
                  <c:v>81.486078886107023</c:v>
                </c:pt>
                <c:pt idx="11">
                  <c:v>81.295201028323632</c:v>
                </c:pt>
                <c:pt idx="12">
                  <c:v>81.100389909120153</c:v>
                </c:pt>
                <c:pt idx="13">
                  <c:v>80.901588360242258</c:v>
                </c:pt>
                <c:pt idx="14">
                  <c:v>80.69874008879323</c:v>
                </c:pt>
                <c:pt idx="15">
                  <c:v>80.491789826654284</c:v>
                </c:pt>
                <c:pt idx="16">
                  <c:v>80.28068348950552</c:v>
                </c:pt>
                <c:pt idx="17">
                  <c:v>80.06536834579812</c:v>
                </c:pt>
                <c:pt idx="18">
                  <c:v>79.845793196007932</c:v>
                </c:pt>
                <c:pt idx="19">
                  <c:v>79.621908562495747</c:v>
                </c:pt>
                <c:pt idx="20">
                  <c:v>79.393666890272414</c:v>
                </c:pt>
                <c:pt idx="21">
                  <c:v>79.161022758943133</c:v>
                </c:pt>
                <c:pt idx="22">
                  <c:v>78.923933106083282</c:v>
                </c:pt>
                <c:pt idx="23">
                  <c:v>78.682357462253819</c:v>
                </c:pt>
                <c:pt idx="24">
                  <c:v>78.436258197832544</c:v>
                </c:pt>
                <c:pt idx="25">
                  <c:v>78.185600781785382</c:v>
                </c:pt>
                <c:pt idx="26">
                  <c:v>77.930354052451776</c:v>
                </c:pt>
                <c:pt idx="27">
                  <c:v>77.670490500355271</c:v>
                </c:pt>
                <c:pt idx="28">
                  <c:v>77.405986562984864</c:v>
                </c:pt>
                <c:pt idx="29">
                  <c:v>77.136822931415082</c:v>
                </c:pt>
                <c:pt idx="30">
                  <c:v>76.862984868548494</c:v>
                </c:pt>
                <c:pt idx="31">
                  <c:v>76.584462538672923</c:v>
                </c:pt>
                <c:pt idx="32">
                  <c:v>76.301251347922971</c:v>
                </c:pt>
                <c:pt idx="33">
                  <c:v>76.013352295125117</c:v>
                </c:pt>
                <c:pt idx="34">
                  <c:v>75.720772332387654</c:v>
                </c:pt>
                <c:pt idx="35">
                  <c:v>75.423524734666501</c:v>
                </c:pt>
                <c:pt idx="36">
                  <c:v>75.121629477404724</c:v>
                </c:pt>
                <c:pt idx="37">
                  <c:v>74.815113621194868</c:v>
                </c:pt>
                <c:pt idx="38">
                  <c:v>74.504011702264009</c:v>
                </c:pt>
                <c:pt idx="39">
                  <c:v>74.188366127420437</c:v>
                </c:pt>
                <c:pt idx="40">
                  <c:v>73.868227571937254</c:v>
                </c:pt>
                <c:pt idx="41">
                  <c:v>73.543655378674245</c:v>
                </c:pt>
                <c:pt idx="42">
                  <c:v>73.21471795657277</c:v>
                </c:pt>
                <c:pt idx="43">
                  <c:v>72.881493176475146</c:v>
                </c:pt>
                <c:pt idx="44">
                  <c:v>72.544068762050003</c:v>
                </c:pt>
                <c:pt idx="45">
                  <c:v>72.202542673431594</c:v>
                </c:pt>
                <c:pt idx="46">
                  <c:v>71.857023481008952</c:v>
                </c:pt>
                <c:pt idx="47">
                  <c:v>71.507630726643498</c:v>
                </c:pt>
                <c:pt idx="48">
                  <c:v>71.154495269439991</c:v>
                </c:pt>
                <c:pt idx="49">
                  <c:v>70.7977596130563</c:v>
                </c:pt>
                <c:pt idx="50">
                  <c:v>70.437578211416792</c:v>
                </c:pt>
                <c:pt idx="51">
                  <c:v>70.074117749591437</c:v>
                </c:pt>
                <c:pt idx="52">
                  <c:v>69.707557396517416</c:v>
                </c:pt>
                <c:pt idx="53">
                  <c:v>69.338089026192208</c:v>
                </c:pt>
                <c:pt idx="54">
                  <c:v>68.965917403937155</c:v>
                </c:pt>
                <c:pt idx="55">
                  <c:v>68.591260334340731</c:v>
                </c:pt>
                <c:pt idx="56">
                  <c:v>68.214348767529813</c:v>
                </c:pt>
                <c:pt idx="57">
                  <c:v>67.83542686050329</c:v>
                </c:pt>
                <c:pt idx="58">
                  <c:v>67.454751990378256</c:v>
                </c:pt>
                <c:pt idx="59">
                  <c:v>67.072594716565249</c:v>
                </c:pt>
                <c:pt idx="60">
                  <c:v>66.689238689094054</c:v>
                </c:pt>
                <c:pt idx="61">
                  <c:v>66.304980500560788</c:v>
                </c:pt>
                <c:pt idx="62">
                  <c:v>65.920129479459604</c:v>
                </c:pt>
                <c:pt idx="63">
                  <c:v>65.535007423001147</c:v>
                </c:pt>
                <c:pt idx="64">
                  <c:v>65.149948267888902</c:v>
                </c:pt>
                <c:pt idx="65">
                  <c:v>64.765297697944803</c:v>
                </c:pt>
                <c:pt idx="66">
                  <c:v>64.38141268791729</c:v>
                </c:pt>
                <c:pt idx="67">
                  <c:v>63.998660983283465</c:v>
                </c:pt>
                <c:pt idx="68">
                  <c:v>63.617420516355793</c:v>
                </c:pt>
                <c:pt idx="69">
                  <c:v>63.238078759524456</c:v>
                </c:pt>
                <c:pt idx="70">
                  <c:v>62.861032016989434</c:v>
                </c:pt>
                <c:pt idx="71">
                  <c:v>62.486684656874068</c:v>
                </c:pt>
                <c:pt idx="72">
                  <c:v>62.115448286135951</c:v>
                </c:pt>
                <c:pt idx="73">
                  <c:v>61.747740871206275</c:v>
                </c:pt>
                <c:pt idx="74">
                  <c:v>61.383985807783198</c:v>
                </c:pt>
                <c:pt idx="75">
                  <c:v>61.024610943674318</c:v>
                </c:pt>
                <c:pt idx="76">
                  <c:v>60.670047559005205</c:v>
                </c:pt>
                <c:pt idx="77">
                  <c:v>60.320729308505861</c:v>
                </c:pt>
                <c:pt idx="78">
                  <c:v>59.977091130918168</c:v>
                </c:pt>
                <c:pt idx="79">
                  <c:v>59.639568130854165</c:v>
                </c:pt>
                <c:pt idx="80">
                  <c:v>59.308594438648505</c:v>
                </c:pt>
                <c:pt idx="81">
                  <c:v>58.984602053921598</c:v>
                </c:pt>
                <c:pt idx="82">
                  <c:v>58.66801967865365</c:v>
                </c:pt>
                <c:pt idx="83">
                  <c:v>58.359271545601906</c:v>
                </c:pt>
                <c:pt idx="84">
                  <c:v>58.058776247865893</c:v>
                </c:pt>
                <c:pt idx="85">
                  <c:v>57.766945575301634</c:v>
                </c:pt>
                <c:pt idx="86">
                  <c:v>57.484183363330146</c:v>
                </c:pt>
                <c:pt idx="87">
                  <c:v>57.210884359483636</c:v>
                </c:pt>
                <c:pt idx="88">
                  <c:v>56.947433112765665</c:v>
                </c:pt>
                <c:pt idx="89">
                  <c:v>56.694202890606078</c:v>
                </c:pt>
                <c:pt idx="90">
                  <c:v>56.451554627855884</c:v>
                </c:pt>
                <c:pt idx="91">
                  <c:v>56.219835911908248</c:v>
                </c:pt>
                <c:pt idx="92">
                  <c:v>55.99938000764358</c:v>
                </c:pt>
                <c:pt idx="93">
                  <c:v>55.790504925516942</c:v>
                </c:pt>
                <c:pt idx="94">
                  <c:v>55.593512535701024</c:v>
                </c:pt>
                <c:pt idx="95">
                  <c:v>55.408687730821974</c:v>
                </c:pt>
                <c:pt idx="96">
                  <c:v>55.236297639435783</c:v>
                </c:pt>
                <c:pt idx="97">
                  <c:v>55.076590892048891</c:v>
                </c:pt>
                <c:pt idx="98">
                  <c:v>54.92979694114576</c:v>
                </c:pt>
                <c:pt idx="99">
                  <c:v>54.796125436385999</c:v>
                </c:pt>
                <c:pt idx="100">
                  <c:v>54.675765655863721</c:v>
                </c:pt>
                <c:pt idx="101">
                  <c:v>54.568885994082983</c:v>
                </c:pt>
                <c:pt idx="102">
                  <c:v>54.475633507109052</c:v>
                </c:pt>
                <c:pt idx="103">
                  <c:v>54.396133515189781</c:v>
                </c:pt>
                <c:pt idx="104">
                  <c:v>54.330489263012225</c:v>
                </c:pt>
                <c:pt idx="105">
                  <c:v>54.278781637675635</c:v>
                </c:pt>
                <c:pt idx="106">
                  <c:v>54.241068944387038</c:v>
                </c:pt>
                <c:pt idx="107">
                  <c:v>54.217386739864033</c:v>
                </c:pt>
                <c:pt idx="108">
                  <c:v>54.207747723401013</c:v>
                </c:pt>
                <c:pt idx="109">
                  <c:v>54.212141685572817</c:v>
                </c:pt>
                <c:pt idx="110">
                  <c:v>54.230535514553871</c:v>
                </c:pt>
                <c:pt idx="111">
                  <c:v>54.26287326005685</c:v>
                </c:pt>
                <c:pt idx="112">
                  <c:v>54.309076254907424</c:v>
                </c:pt>
                <c:pt idx="113">
                  <c:v>54.36904329429278</c:v>
                </c:pt>
                <c:pt idx="114">
                  <c:v>54.442650872708654</c:v>
                </c:pt>
                <c:pt idx="115">
                  <c:v>54.529753478618325</c:v>
                </c:pt>
                <c:pt idx="116">
                  <c:v>54.630183946787767</c:v>
                </c:pt>
                <c:pt idx="117">
                  <c:v>54.743753868189849</c:v>
                </c:pt>
                <c:pt idx="118">
                  <c:v>54.870254057270891</c:v>
                </c:pt>
                <c:pt idx="119">
                  <c:v>55.009455076224953</c:v>
                </c:pt>
                <c:pt idx="120">
                  <c:v>55.161107815758598</c:v>
                </c:pt>
                <c:pt idx="121">
                  <c:v>55.324944131605115</c:v>
                </c:pt>
                <c:pt idx="122">
                  <c:v>55.500677535812798</c:v>
                </c:pt>
                <c:pt idx="123">
                  <c:v>55.688003941535584</c:v>
                </c:pt>
                <c:pt idx="124">
                  <c:v>55.886602459756958</c:v>
                </c:pt>
                <c:pt idx="125">
                  <c:v>56.096136246017672</c:v>
                </c:pt>
                <c:pt idx="126">
                  <c:v>56.316253394875943</c:v>
                </c:pt>
                <c:pt idx="127">
                  <c:v>56.546587879425054</c:v>
                </c:pt>
                <c:pt idx="128">
                  <c:v>56.78676053282377</c:v>
                </c:pt>
                <c:pt idx="129">
                  <c:v>57.03638006838279</c:v>
                </c:pt>
                <c:pt idx="130">
                  <c:v>57.295044134377363</c:v>
                </c:pt>
                <c:pt idx="131">
                  <c:v>57.5623403993729</c:v>
                </c:pt>
                <c:pt idx="132">
                  <c:v>57.837847663495793</c:v>
                </c:pt>
                <c:pt idx="133">
                  <c:v>58.121136990764946</c:v>
                </c:pt>
                <c:pt idx="134">
                  <c:v>58.411772857305628</c:v>
                </c:pt>
                <c:pt idx="135">
                  <c:v>58.70931431002861</c:v>
                </c:pt>
                <c:pt idx="136">
                  <c:v>59.013316130163474</c:v>
                </c:pt>
                <c:pt idx="137">
                  <c:v>59.323329995900224</c:v>
                </c:pt>
                <c:pt idx="138">
                  <c:v>59.638905638318775</c:v>
                </c:pt>
                <c:pt idx="139">
                  <c:v>59.959591984764202</c:v>
                </c:pt>
                <c:pt idx="140">
                  <c:v>60.284938283894412</c:v>
                </c:pt>
                <c:pt idx="141">
                  <c:v>60.614495206724513</c:v>
                </c:pt>
                <c:pt idx="142">
                  <c:v>60.947815918188958</c:v>
                </c:pt>
                <c:pt idx="143">
                  <c:v>61.284457113972472</c:v>
                </c:pt>
                <c:pt idx="144">
                  <c:v>61.623980017675407</c:v>
                </c:pt>
                <c:pt idx="145">
                  <c:v>61.965951333718486</c:v>
                </c:pt>
                <c:pt idx="146">
                  <c:v>62.309944151807088</c:v>
                </c:pt>
                <c:pt idx="147">
                  <c:v>62.655538799206965</c:v>
                </c:pt>
                <c:pt idx="148">
                  <c:v>63.002323637569056</c:v>
                </c:pt>
                <c:pt idx="149">
                  <c:v>63.349895801534124</c:v>
                </c:pt>
                <c:pt idx="150">
                  <c:v>63.697861876876402</c:v>
                </c:pt>
                <c:pt idx="151">
                  <c:v>64.045838516470226</c:v>
                </c:pt>
                <c:pt idx="152">
                  <c:v>64.393452992894879</c:v>
                </c:pt>
                <c:pt idx="153">
                  <c:v>64.74034368702263</c:v>
                </c:pt>
                <c:pt idx="154">
                  <c:v>65.086160512442319</c:v>
                </c:pt>
                <c:pt idx="155">
                  <c:v>65.430565276068918</c:v>
                </c:pt>
                <c:pt idx="156">
                  <c:v>65.773231975748274</c:v>
                </c:pt>
                <c:pt idx="157">
                  <c:v>66.113847036115388</c:v>
                </c:pt>
                <c:pt idx="158">
                  <c:v>66.452109484348568</c:v>
                </c:pt>
                <c:pt idx="159">
                  <c:v>66.787731067840184</c:v>
                </c:pt>
                <c:pt idx="160">
                  <c:v>67.12043631611526</c:v>
                </c:pt>
                <c:pt idx="161">
                  <c:v>67.449962549610461</c:v>
                </c:pt>
                <c:pt idx="162">
                  <c:v>67.776059838165722</c:v>
                </c:pt>
                <c:pt idx="163">
                  <c:v>68.098490912263969</c:v>
                </c:pt>
                <c:pt idx="164">
                  <c:v>68.417031030210609</c:v>
                </c:pt>
                <c:pt idx="165">
                  <c:v>68.731467804545673</c:v>
                </c:pt>
                <c:pt idx="166">
                  <c:v>69.041600991057166</c:v>
                </c:pt>
                <c:pt idx="167">
                  <c:v>69.347242243783697</c:v>
                </c:pt>
                <c:pt idx="168">
                  <c:v>69.648214839400595</c:v>
                </c:pt>
                <c:pt idx="169">
                  <c:v>69.944353374344843</c:v>
                </c:pt>
                <c:pt idx="170">
                  <c:v>70.235503437968632</c:v>
                </c:pt>
                <c:pt idx="171">
                  <c:v>70.521521264924189</c:v>
                </c:pt>
                <c:pt idx="172">
                  <c:v>70.802273369876204</c:v>
                </c:pt>
                <c:pt idx="173">
                  <c:v>71.077636167503073</c:v>
                </c:pt>
                <c:pt idx="174">
                  <c:v>71.347495580611735</c:v>
                </c:pt>
                <c:pt idx="175">
                  <c:v>71.611746639029775</c:v>
                </c:pt>
                <c:pt idx="176">
                  <c:v>71.870293071781688</c:v>
                </c:pt>
                <c:pt idx="177">
                  <c:v>72.123046894875756</c:v>
                </c:pt>
                <c:pt idx="178">
                  <c:v>72.369927996867247</c:v>
                </c:pt>
                <c:pt idx="179">
                  <c:v>72.610863724175147</c:v>
                </c:pt>
                <c:pt idx="180">
                  <c:v>72.845788467963658</c:v>
                </c:pt>
                <c:pt idx="181">
                  <c:v>73.074643254226487</c:v>
                </c:pt>
                <c:pt idx="182">
                  <c:v>73.297375338538714</c:v>
                </c:pt>
                <c:pt idx="183">
                  <c:v>73.513937806782806</c:v>
                </c:pt>
                <c:pt idx="184">
                  <c:v>73.724289182999755</c:v>
                </c:pt>
                <c:pt idx="185">
                  <c:v>73.928393045358362</c:v>
                </c:pt>
                <c:pt idx="186">
                  <c:v>74.126217651107055</c:v>
                </c:pt>
                <c:pt idx="187">
                  <c:v>74.317735571227544</c:v>
                </c:pt>
                <c:pt idx="188">
                  <c:v>74.502923335392083</c:v>
                </c:pt>
                <c:pt idx="189">
                  <c:v>74.681761087707116</c:v>
                </c:pt>
                <c:pt idx="190">
                  <c:v>74.854232253622399</c:v>
                </c:pt>
                <c:pt idx="191">
                  <c:v>75.020323218283281</c:v>
                </c:pt>
                <c:pt idx="192">
                  <c:v>75.180023016517978</c:v>
                </c:pt>
                <c:pt idx="193">
                  <c:v>75.333323034568437</c:v>
                </c:pt>
                <c:pt idx="194">
                  <c:v>75.480216723603334</c:v>
                </c:pt>
                <c:pt idx="195">
                  <c:v>75.620699324985438</c:v>
                </c:pt>
                <c:pt idx="196">
                  <c:v>75.75476760720899</c:v>
                </c:pt>
                <c:pt idx="197">
                  <c:v>75.882419614374953</c:v>
                </c:pt>
                <c:pt idx="198">
                  <c:v>76.003654426024738</c:v>
                </c:pt>
                <c:pt idx="199">
                  <c:v>76.118471928119007</c:v>
                </c:pt>
                <c:pt idx="200">
                  <c:v>76.226872594918632</c:v>
                </c:pt>
                <c:pt idx="201">
                  <c:v>76.328857281492219</c:v>
                </c:pt>
                <c:pt idx="202">
                  <c:v>76.424427026561276</c:v>
                </c:pt>
                <c:pt idx="203">
                  <c:v>76.513582865376236</c:v>
                </c:pt>
                <c:pt idx="204">
                  <c:v>76.596325652297793</c:v>
                </c:pt>
                <c:pt idx="205">
                  <c:v>76.6726558927583</c:v>
                </c:pt>
                <c:pt idx="206">
                  <c:v>76.742573584269252</c:v>
                </c:pt>
                <c:pt idx="207">
                  <c:v>76.806078066136294</c:v>
                </c:pt>
                <c:pt idx="208">
                  <c:v>76.86316787754761</c:v>
                </c:pt>
                <c:pt idx="209">
                  <c:v>76.913840623703095</c:v>
                </c:pt>
                <c:pt idx="210">
                  <c:v>76.958092849656765</c:v>
                </c:pt>
                <c:pt idx="211">
                  <c:v>76.995919921551973</c:v>
                </c:pt>
                <c:pt idx="212">
                  <c:v>77.02731591493847</c:v>
                </c:pt>
                <c:pt idx="213">
                  <c:v>77.052273509869025</c:v>
                </c:pt>
                <c:pt idx="214">
                  <c:v>77.070783892486816</c:v>
                </c:pt>
                <c:pt idx="215">
                  <c:v>77.0828366628255</c:v>
                </c:pt>
                <c:pt idx="216">
                  <c:v>77.088419748557854</c:v>
                </c:pt>
                <c:pt idx="217">
                  <c:v>77.087519324444401</c:v>
                </c:pt>
                <c:pt idx="218">
                  <c:v>77.080119737246093</c:v>
                </c:pt>
                <c:pt idx="219">
                  <c:v>77.066203435882173</c:v>
                </c:pt>
                <c:pt idx="220">
                  <c:v>77.045750906629934</c:v>
                </c:pt>
                <c:pt idx="221">
                  <c:v>77.018740613179588</c:v>
                </c:pt>
                <c:pt idx="222">
                  <c:v>76.985148941373879</c:v>
                </c:pt>
                <c:pt idx="223">
                  <c:v>76.944950148477943</c:v>
                </c:pt>
                <c:pt idx="224">
                  <c:v>76.898116316845105</c:v>
                </c:pt>
                <c:pt idx="225">
                  <c:v>76.844617311858102</c:v>
                </c:pt>
                <c:pt idx="226">
                  <c:v>76.784420744045335</c:v>
                </c:pt>
                <c:pt idx="227">
                  <c:v>76.717491935286446</c:v>
                </c:pt>
                <c:pt idx="228">
                  <c:v>76.643793889043906</c:v>
                </c:pt>
                <c:pt idx="229">
                  <c:v>76.563287264569183</c:v>
                </c:pt>
                <c:pt idx="230">
                  <c:v>76.475930355053848</c:v>
                </c:pt>
                <c:pt idx="231">
                  <c:v>76.381679069713243</c:v>
                </c:pt>
                <c:pt idx="232">
                  <c:v>76.280486919806549</c:v>
                </c:pt>
                <c:pt idx="233">
                  <c:v>76.172305008615595</c:v>
                </c:pt>
                <c:pt idx="234">
                  <c:v>76.057082025425458</c:v>
                </c:pt>
                <c:pt idx="235">
                  <c:v>75.934764243560082</c:v>
                </c:pt>
                <c:pt idx="236">
                  <c:v>75.805295522555596</c:v>
                </c:pt>
                <c:pt idx="237">
                  <c:v>75.668617314558432</c:v>
                </c:pt>
                <c:pt idx="238">
                  <c:v>75.524668675064959</c:v>
                </c:pt>
                <c:pt idx="239">
                  <c:v>75.373386278128137</c:v>
                </c:pt>
                <c:pt idx="240">
                  <c:v>75.214704436179332</c:v>
                </c:pt>
                <c:pt idx="241">
                  <c:v>75.048555124627569</c:v>
                </c:pt>
                <c:pt idx="242">
                  <c:v>74.874868011417902</c:v>
                </c:pt>
                <c:pt idx="243">
                  <c:v>74.693570491745803</c:v>
                </c:pt>
                <c:pt idx="244">
                  <c:v>74.504587728139327</c:v>
                </c:pt>
                <c:pt idx="245">
                  <c:v>74.307842696141535</c:v>
                </c:pt>
                <c:pt idx="246">
                  <c:v>74.103256235834394</c:v>
                </c:pt>
                <c:pt idx="247">
                  <c:v>73.890747109467199</c:v>
                </c:pt>
                <c:pt idx="248">
                  <c:v>73.670232065458279</c:v>
                </c:pt>
                <c:pt idx="249">
                  <c:v>73.441625909060974</c:v>
                </c:pt>
                <c:pt idx="250">
                  <c:v>73.204841579988752</c:v>
                </c:pt>
                <c:pt idx="251">
                  <c:v>72.959790237310074</c:v>
                </c:pt>
                <c:pt idx="252">
                  <c:v>72.706381351930247</c:v>
                </c:pt>
                <c:pt idx="253">
                  <c:v>72.444522806987493</c:v>
                </c:pt>
                <c:pt idx="254">
                  <c:v>72.174121006493522</c:v>
                </c:pt>
                <c:pt idx="255">
                  <c:v>71.895080992555123</c:v>
                </c:pt>
                <c:pt idx="256">
                  <c:v>71.607306571512751</c:v>
                </c:pt>
                <c:pt idx="257">
                  <c:v>71.31070044933297</c:v>
                </c:pt>
                <c:pt idx="258">
                  <c:v>71.005164376582655</c:v>
                </c:pt>
                <c:pt idx="259">
                  <c:v>70.690599303311004</c:v>
                </c:pt>
                <c:pt idx="260">
                  <c:v>70.366905544149716</c:v>
                </c:pt>
                <c:pt idx="261">
                  <c:v>70.03398295392789</c:v>
                </c:pt>
                <c:pt idx="262">
                  <c:v>69.691731114076646</c:v>
                </c:pt>
                <c:pt idx="263">
                  <c:v>69.340049530075888</c:v>
                </c:pt>
                <c:pt idx="264">
                  <c:v>68.978837840162441</c:v>
                </c:pt>
                <c:pt idx="265">
                  <c:v>68.607996035486337</c:v>
                </c:pt>
                <c:pt idx="266">
                  <c:v>68.227424691856086</c:v>
                </c:pt>
                <c:pt idx="267">
                  <c:v>67.837025213166328</c:v>
                </c:pt>
                <c:pt idx="268">
                  <c:v>67.436700086547873</c:v>
                </c:pt>
                <c:pt idx="269">
                  <c:v>67.026353149213207</c:v>
                </c:pt>
                <c:pt idx="270">
                  <c:v>66.60588986690027</c:v>
                </c:pt>
                <c:pt idx="271">
                  <c:v>66.175217623742171</c:v>
                </c:pt>
                <c:pt idx="272">
                  <c:v>65.734246023297388</c:v>
                </c:pt>
                <c:pt idx="273">
                  <c:v>65.282887200382334</c:v>
                </c:pt>
                <c:pt idx="274">
                  <c:v>64.821056143245528</c:v>
                </c:pt>
                <c:pt idx="275">
                  <c:v>64.348671025501346</c:v>
                </c:pt>
                <c:pt idx="276">
                  <c:v>63.865653547133988</c:v>
                </c:pt>
                <c:pt idx="277">
                  <c:v>63.371929283733401</c:v>
                </c:pt>
                <c:pt idx="278">
                  <c:v>62.867428043005553</c:v>
                </c:pt>
                <c:pt idx="279">
                  <c:v>62.352084227438688</c:v>
                </c:pt>
                <c:pt idx="280">
                  <c:v>61.825837201867117</c:v>
                </c:pt>
                <c:pt idx="281">
                  <c:v>61.288631664506873</c:v>
                </c:pt>
                <c:pt idx="282">
                  <c:v>60.740418019881446</c:v>
                </c:pt>
                <c:pt idx="283">
                  <c:v>60.181152751885875</c:v>
                </c:pt>
                <c:pt idx="284">
                  <c:v>59.610798795074899</c:v>
                </c:pt>
                <c:pt idx="285">
                  <c:v>59.029325902087372</c:v>
                </c:pt>
                <c:pt idx="286">
                  <c:v>58.436711004962696</c:v>
                </c:pt>
                <c:pt idx="287">
                  <c:v>57.832938567934647</c:v>
                </c:pt>
                <c:pt idx="288">
                  <c:v>57.21800092914787</c:v>
                </c:pt>
                <c:pt idx="289">
                  <c:v>56.591898628586634</c:v>
                </c:pt>
                <c:pt idx="290">
                  <c:v>55.954640719387875</c:v>
                </c:pt>
                <c:pt idx="291">
                  <c:v>55.306245059585336</c:v>
                </c:pt>
                <c:pt idx="292">
                  <c:v>54.646738581250325</c:v>
                </c:pt>
                <c:pt idx="293">
                  <c:v>53.976157533910857</c:v>
                </c:pt>
                <c:pt idx="294">
                  <c:v>53.294547699098302</c:v>
                </c:pt>
                <c:pt idx="295">
                  <c:v>52.601964572842057</c:v>
                </c:pt>
                <c:pt idx="296">
                  <c:v>51.898473512961637</c:v>
                </c:pt>
                <c:pt idx="297">
                  <c:v>51.184149848051646</c:v>
                </c:pt>
                <c:pt idx="298">
                  <c:v>50.459078945144405</c:v>
                </c:pt>
                <c:pt idx="299">
                  <c:v>49.723356233170826</c:v>
                </c:pt>
                <c:pt idx="300">
                  <c:v>48.977087179507919</c:v>
                </c:pt>
                <c:pt idx="301">
                  <c:v>48.220387217119203</c:v>
                </c:pt>
                <c:pt idx="302">
                  <c:v>47.453381620056533</c:v>
                </c:pt>
                <c:pt idx="303">
                  <c:v>46.67620532538534</c:v>
                </c:pt>
                <c:pt idx="304">
                  <c:v>45.889002699952428</c:v>
                </c:pt>
                <c:pt idx="305">
                  <c:v>45.09192725079194</c:v>
                </c:pt>
                <c:pt idx="306">
                  <c:v>44.285141278382703</c:v>
                </c:pt>
                <c:pt idx="307">
                  <c:v>43.468815472451389</c:v>
                </c:pt>
                <c:pt idx="308">
                  <c:v>42.643128450455535</c:v>
                </c:pt>
                <c:pt idx="309">
                  <c:v>41.808266239440833</c:v>
                </c:pt>
                <c:pt idx="310">
                  <c:v>40.964421702451581</c:v>
                </c:pt>
                <c:pt idx="311">
                  <c:v>40.111793911226158</c:v>
                </c:pt>
                <c:pt idx="312">
                  <c:v>39.250587467446891</c:v>
                </c:pt>
                <c:pt idx="313">
                  <c:v>38.381011775342856</c:v>
                </c:pt>
                <c:pt idx="314">
                  <c:v>37.503280268957219</c:v>
                </c:pt>
                <c:pt idx="315">
                  <c:v>36.617609597897612</c:v>
                </c:pt>
                <c:pt idx="316">
                  <c:v>35.724218775845166</c:v>
                </c:pt>
                <c:pt idx="317">
                  <c:v>34.823328296520103</c:v>
                </c:pt>
                <c:pt idx="318">
                  <c:v>33.915159222195228</c:v>
                </c:pt>
                <c:pt idx="319">
                  <c:v>32.99993225016469</c:v>
                </c:pt>
                <c:pt idx="320">
                  <c:v>32.07786676284293</c:v>
                </c:pt>
                <c:pt idx="321">
                  <c:v>31.149179867383296</c:v>
                </c:pt>
                <c:pt idx="322">
                  <c:v>30.214085430835226</c:v>
                </c:pt>
                <c:pt idx="323">
                  <c:v>29.272793116920553</c:v>
                </c:pt>
                <c:pt idx="324">
                  <c:v>28.325507430520574</c:v>
                </c:pt>
                <c:pt idx="325">
                  <c:v>27.37242677587502</c:v>
                </c:pt>
                <c:pt idx="326">
                  <c:v>26.413742534364463</c:v>
                </c:pt>
                <c:pt idx="327">
                  <c:v>25.44963816751789</c:v>
                </c:pt>
                <c:pt idx="328">
                  <c:v>24.480288350642049</c:v>
                </c:pt>
                <c:pt idx="329">
                  <c:v>23.505858142111205</c:v>
                </c:pt>
                <c:pt idx="330">
                  <c:v>22.526502193004227</c:v>
                </c:pt>
                <c:pt idx="331">
                  <c:v>21.542364001329187</c:v>
                </c:pt>
                <c:pt idx="332">
                  <c:v>20.553575214644177</c:v>
                </c:pt>
                <c:pt idx="333">
                  <c:v>19.560254984366683</c:v>
                </c:pt>
                <c:pt idx="334">
                  <c:v>18.562509374599134</c:v>
                </c:pt>
                <c:pt idx="335">
                  <c:v>17.560430827742497</c:v>
                </c:pt>
                <c:pt idx="336">
                  <c:v>16.55409768869708</c:v>
                </c:pt>
                <c:pt idx="337">
                  <c:v>15.543573788900273</c:v>
                </c:pt>
                <c:pt idx="338">
                  <c:v>14.528908090984526</c:v>
                </c:pt>
                <c:pt idx="339">
                  <c:v>13.510134394347585</c:v>
                </c:pt>
                <c:pt idx="340">
                  <c:v>12.487271101481166</c:v>
                </c:pt>
                <c:pt idx="341">
                  <c:v>11.460321044483907</c:v>
                </c:pt>
                <c:pt idx="342">
                  <c:v>10.429271370806925</c:v>
                </c:pt>
                <c:pt idx="343">
                  <c:v>9.394093486933345</c:v>
                </c:pt>
                <c:pt idx="344">
                  <c:v>8.3547430583875606</c:v>
                </c:pt>
                <c:pt idx="345">
                  <c:v>7.3111600642261081</c:v>
                </c:pt>
                <c:pt idx="346">
                  <c:v>6.2632689039273064</c:v>
                </c:pt>
                <c:pt idx="347">
                  <c:v>5.2109785544550062</c:v>
                </c:pt>
                <c:pt idx="348">
                  <c:v>4.1541827751144993</c:v>
                </c:pt>
                <c:pt idx="349">
                  <c:v>3.0927603577618794</c:v>
                </c:pt>
                <c:pt idx="350">
                  <c:v>2.0265754198720027</c:v>
                </c:pt>
                <c:pt idx="351">
                  <c:v>0.95547773796186808</c:v>
                </c:pt>
                <c:pt idx="352">
                  <c:v>-0.12069688109693777</c:v>
                </c:pt>
                <c:pt idx="353">
                  <c:v>-1.2021261932846996</c:v>
                </c:pt>
                <c:pt idx="354">
                  <c:v>-2.2890010774876766</c:v>
                </c:pt>
                <c:pt idx="355">
                  <c:v>-3.3815250645936699</c:v>
                </c:pt>
                <c:pt idx="356">
                  <c:v>-4.4799138377166559</c:v>
                </c:pt>
                <c:pt idx="357">
                  <c:v>-5.5843947054521657</c:v>
                </c:pt>
                <c:pt idx="358">
                  <c:v>-6.6952060499329926</c:v>
                </c:pt>
                <c:pt idx="359">
                  <c:v>-7.8125967512447057</c:v>
                </c:pt>
                <c:pt idx="360">
                  <c:v>-8.9368255895997528</c:v>
                </c:pt>
                <c:pt idx="361">
                  <c:v>-10.068160626465581</c:v>
                </c:pt>
                <c:pt idx="362">
                  <c:v>-11.206878565652833</c:v>
                </c:pt>
                <c:pt idx="363">
                  <c:v>-12.353264095188848</c:v>
                </c:pt>
                <c:pt idx="364">
                  <c:v>-13.507609210601064</c:v>
                </c:pt>
                <c:pt idx="365">
                  <c:v>-14.67021252006481</c:v>
                </c:pt>
                <c:pt idx="366">
                  <c:v>-15.841378531702812</c:v>
                </c:pt>
                <c:pt idx="367">
                  <c:v>-17.021416923145853</c:v>
                </c:pt>
                <c:pt idx="368">
                  <c:v>-18.210641793336052</c:v>
                </c:pt>
                <c:pt idx="369">
                  <c:v>-19.409370896404475</c:v>
                </c:pt>
                <c:pt idx="370">
                  <c:v>-20.617924857340991</c:v>
                </c:pt>
                <c:pt idx="371">
                  <c:v>-21.836626369074825</c:v>
                </c:pt>
                <c:pt idx="372">
                  <c:v>-23.065799370498144</c:v>
                </c:pt>
                <c:pt idx="373">
                  <c:v>-24.305768204892445</c:v>
                </c:pt>
                <c:pt idx="374">
                  <c:v>-25.556856758194961</c:v>
                </c:pt>
                <c:pt idx="375">
                  <c:v>-26.819387576494389</c:v>
                </c:pt>
                <c:pt idx="376">
                  <c:v>-28.093680962167017</c:v>
                </c:pt>
                <c:pt idx="377">
                  <c:v>-29.380054048078222</c:v>
                </c:pt>
                <c:pt idx="378">
                  <c:v>-30.678819849325734</c:v>
                </c:pt>
                <c:pt idx="379">
                  <c:v>-31.990286292078885</c:v>
                </c:pt>
                <c:pt idx="380">
                  <c:v>-33.314755219161562</c:v>
                </c:pt>
                <c:pt idx="381">
                  <c:v>-34.652521372164792</c:v>
                </c:pt>
                <c:pt idx="382">
                  <c:v>-36.003871350019956</c:v>
                </c:pt>
                <c:pt idx="383">
                  <c:v>-37.369082544153294</c:v>
                </c:pt>
                <c:pt idx="384">
                  <c:v>-38.748422050551277</c:v>
                </c:pt>
                <c:pt idx="385">
                  <c:v>-40.14214555930208</c:v>
                </c:pt>
                <c:pt idx="386">
                  <c:v>-41.550496222454093</c:v>
                </c:pt>
                <c:pt idx="387">
                  <c:v>-42.973703501320252</c:v>
                </c:pt>
                <c:pt idx="388">
                  <c:v>-44.411981994678662</c:v>
                </c:pt>
                <c:pt idx="389">
                  <c:v>-45.865530249677875</c:v>
                </c:pt>
                <c:pt idx="390">
                  <c:v>-47.334529557613081</c:v>
                </c:pt>
                <c:pt idx="391">
                  <c:v>-48.819142737150671</c:v>
                </c:pt>
                <c:pt idx="392">
                  <c:v>-50.319512907985271</c:v>
                </c:pt>
                <c:pt idx="393">
                  <c:v>-51.835762258347174</c:v>
                </c:pt>
                <c:pt idx="394">
                  <c:v>-53.367990810244251</c:v>
                </c:pt>
                <c:pt idx="395">
                  <c:v>-54.91627518674948</c:v>
                </c:pt>
                <c:pt idx="396">
                  <c:v>-56.480667386154842</c:v>
                </c:pt>
                <c:pt idx="397">
                  <c:v>-58.06119356823897</c:v>
                </c:pt>
                <c:pt idx="398">
                  <c:v>-59.657852858392609</c:v>
                </c:pt>
                <c:pt idx="399">
                  <c:v>-61.270616175778464</c:v>
                </c:pt>
                <c:pt idx="400">
                  <c:v>-62.899425092146366</c:v>
                </c:pt>
                <c:pt idx="401">
                  <c:v>-64.544190728341178</c:v>
                </c:pt>
                <c:pt idx="402">
                  <c:v>-66.20479269590777</c:v>
                </c:pt>
                <c:pt idx="403">
                  <c:v>-67.881078091547749</c:v>
                </c:pt>
                <c:pt idx="404">
                  <c:v>-69.57286055247036</c:v>
                </c:pt>
                <c:pt idx="405">
                  <c:v>-71.279919380899983</c:v>
                </c:pt>
                <c:pt idx="406">
                  <c:v>-73.001998746193706</c:v>
                </c:pt>
                <c:pt idx="407">
                  <c:v>-74.738806973083825</c:v>
                </c:pt>
                <c:pt idx="408">
                  <c:v>-76.490015924593152</c:v>
                </c:pt>
                <c:pt idx="409">
                  <c:v>-78.255260488076047</c:v>
                </c:pt>
                <c:pt idx="410">
                  <c:v>-80.034138172659837</c:v>
                </c:pt>
                <c:pt idx="411">
                  <c:v>-81.826208826087012</c:v>
                </c:pt>
                <c:pt idx="412">
                  <c:v>-83.63099447855609</c:v>
                </c:pt>
                <c:pt idx="413">
                  <c:v>-85.447979320668978</c:v>
                </c:pt>
                <c:pt idx="414">
                  <c:v>-87.276609821971732</c:v>
                </c:pt>
                <c:pt idx="415">
                  <c:v>-89.116294995852712</c:v>
                </c:pt>
                <c:pt idx="416">
                  <c:v>-90.966406815724881</c:v>
                </c:pt>
                <c:pt idx="417">
                  <c:v>-92.826280786472196</c:v>
                </c:pt>
                <c:pt idx="418">
                  <c:v>-94.695216674098532</c:v>
                </c:pt>
                <c:pt idx="419">
                  <c:v>-96.572479395388442</c:v>
                </c:pt>
                <c:pt idx="420">
                  <c:v>-98.457300068160393</c:v>
                </c:pt>
                <c:pt idx="421">
                  <c:v>-100.34887722142111</c:v>
                </c:pt>
                <c:pt idx="422">
                  <c:v>-102.24637816338354</c:v>
                </c:pt>
                <c:pt idx="423">
                  <c:v>-104.14894050394686</c:v>
                </c:pt>
                <c:pt idx="424">
                  <c:v>-106.05567382682764</c:v>
                </c:pt>
                <c:pt idx="425">
                  <c:v>-107.96566150515842</c:v>
                </c:pt>
                <c:pt idx="426">
                  <c:v>-109.87796265298503</c:v>
                </c:pt>
                <c:pt idx="427">
                  <c:v>-111.79161420376147</c:v>
                </c:pt>
                <c:pt idx="428">
                  <c:v>-113.70563310568268</c:v>
                </c:pt>
                <c:pt idx="429">
                  <c:v>-115.61901862251185</c:v>
                </c:pt>
                <c:pt idx="430">
                  <c:v>-117.53075472744527</c:v>
                </c:pt>
                <c:pt idx="431">
                  <c:v>-119.43981257663835</c:v>
                </c:pt>
                <c:pt idx="432">
                  <c:v>-121.34515304814283</c:v>
                </c:pt>
                <c:pt idx="433">
                  <c:v>-123.24572933136474</c:v>
                </c:pt>
                <c:pt idx="434">
                  <c:v>-125.14048955160226</c:v>
                </c:pt>
                <c:pt idx="435">
                  <c:v>-127.02837941390479</c:v>
                </c:pt>
                <c:pt idx="436">
                  <c:v>-128.90834485031669</c:v>
                </c:pt>
                <c:pt idx="437">
                  <c:v>-130.77933465457374</c:v>
                </c:pt>
                <c:pt idx="438">
                  <c:v>-132.64030308853259</c:v>
                </c:pt>
                <c:pt idx="439">
                  <c:v>-134.4902124449651</c:v>
                </c:pt>
                <c:pt idx="440">
                  <c:v>-136.32803555189756</c:v>
                </c:pt>
                <c:pt idx="441">
                  <c:v>-138.1527582043839</c:v>
                </c:pt>
                <c:pt idx="442">
                  <c:v>-139.96338151043656</c:v>
                </c:pt>
                <c:pt idx="443">
                  <c:v>-141.75892413882866</c:v>
                </c:pt>
                <c:pt idx="444">
                  <c:v>-143.53842445760102</c:v>
                </c:pt>
                <c:pt idx="445">
                  <c:v>-145.30094255327501</c:v>
                </c:pt>
                <c:pt idx="446">
                  <c:v>-147.0455621220944</c:v>
                </c:pt>
                <c:pt idx="447">
                  <c:v>-148.77139222592763</c:v>
                </c:pt>
                <c:pt idx="448">
                  <c:v>-150.47756890687626</c:v>
                </c:pt>
                <c:pt idx="449">
                  <c:v>-152.16325665601065</c:v>
                </c:pt>
                <c:pt idx="450">
                  <c:v>-153.82764973308267</c:v>
                </c:pt>
                <c:pt idx="451">
                  <c:v>-155.46997333542541</c:v>
                </c:pt>
                <c:pt idx="452">
                  <c:v>-157.0894846156144</c:v>
                </c:pt>
                <c:pt idx="453">
                  <c:v>-158.68547354875264</c:v>
                </c:pt>
                <c:pt idx="454">
                  <c:v>-160.25726365146053</c:v>
                </c:pt>
                <c:pt idx="455">
                  <c:v>-161.80421255581331</c:v>
                </c:pt>
                <c:pt idx="456">
                  <c:v>-163.32571244250016</c:v>
                </c:pt>
                <c:pt idx="457">
                  <c:v>-164.82119033846399</c:v>
                </c:pt>
                <c:pt idx="458">
                  <c:v>-166.29010828509507</c:v>
                </c:pt>
                <c:pt idx="459">
                  <c:v>-167.73196338381914</c:v>
                </c:pt>
                <c:pt idx="460">
                  <c:v>-169.14628772652884</c:v>
                </c:pt>
                <c:pt idx="461">
                  <c:v>-170.53264821882271</c:v>
                </c:pt>
                <c:pt idx="462">
                  <c:v>-171.89064630441538</c:v>
                </c:pt>
                <c:pt idx="463">
                  <c:v>-173.21991759937339</c:v>
                </c:pt>
                <c:pt idx="464">
                  <c:v>-174.52013144501149</c:v>
                </c:pt>
                <c:pt idx="465">
                  <c:v>-175.79099038836281</c:v>
                </c:pt>
                <c:pt idx="466">
                  <c:v>-177.03222959913953</c:v>
                </c:pt>
                <c:pt idx="467">
                  <c:v>-178.2436162319753</c:v>
                </c:pt>
                <c:pt idx="468">
                  <c:v>-179.42494874258625</c:v>
                </c:pt>
                <c:pt idx="469">
                  <c:v>179.42394383378229</c:v>
                </c:pt>
                <c:pt idx="470">
                  <c:v>178.30320263357351</c:v>
                </c:pt>
                <c:pt idx="471">
                  <c:v>177.21293973811552</c:v>
                </c:pt>
                <c:pt idx="472">
                  <c:v>176.15323896155519</c:v>
                </c:pt>
                <c:pt idx="473">
                  <c:v>175.12415664672969</c:v>
                </c:pt>
                <c:pt idx="474">
                  <c:v>174.12572246270315</c:v>
                </c:pt>
                <c:pt idx="475">
                  <c:v>173.15794019820021</c:v>
                </c:pt>
                <c:pt idx="476">
                  <c:v>172.22078854574036</c:v>
                </c:pt>
                <c:pt idx="477">
                  <c:v>171.3142218718196</c:v>
                </c:pt>
                <c:pt idx="478">
                  <c:v>170.43817096907958</c:v>
                </c:pt>
                <c:pt idx="479">
                  <c:v>169.59254378697102</c:v>
                </c:pt>
                <c:pt idx="480">
                  <c:v>168.77722613799983</c:v>
                </c:pt>
                <c:pt idx="481">
                  <c:v>167.99208237722391</c:v>
                </c:pt>
                <c:pt idx="482">
                  <c:v>167.23695605322456</c:v>
                </c:pt>
                <c:pt idx="483">
                  <c:v>166.51167052934682</c:v>
                </c:pt>
                <c:pt idx="484">
                  <c:v>165.81602957452407</c:v>
                </c:pt>
                <c:pt idx="485">
                  <c:v>165.14981792354592</c:v>
                </c:pt>
                <c:pt idx="486">
                  <c:v>164.51280180711379</c:v>
                </c:pt>
                <c:pt idx="487">
                  <c:v>163.90472945251801</c:v>
                </c:pt>
                <c:pt idx="488">
                  <c:v>163.3253315562263</c:v>
                </c:pt>
                <c:pt idx="489">
                  <c:v>162.77432173009268</c:v>
                </c:pt>
                <c:pt idx="490">
                  <c:v>162.25139692330242</c:v>
                </c:pt>
                <c:pt idx="491">
                  <c:v>161.75623782252677</c:v>
                </c:pt>
                <c:pt idx="492">
                  <c:v>161.2885092330998</c:v>
                </c:pt>
                <c:pt idx="493">
                  <c:v>160.84786044431419</c:v>
                </c:pt>
                <c:pt idx="494">
                  <c:v>160.43392558219662</c:v>
                </c:pt>
                <c:pt idx="495">
                  <c:v>160.04632395332999</c:v>
                </c:pt>
                <c:pt idx="496">
                  <c:v>159.68466038346406</c:v>
                </c:pt>
                <c:pt idx="497">
                  <c:v>159.34852555477497</c:v>
                </c:pt>
                <c:pt idx="498">
                  <c:v>159.03749634571574</c:v>
                </c:pt>
                <c:pt idx="499">
                  <c:v>158.75113617741928</c:v>
                </c:pt>
                <c:pt idx="500">
                  <c:v>158.4889953705943</c:v>
                </c:pt>
                <c:pt idx="501">
                  <c:v>158.25061151677806</c:v>
                </c:pt>
                <c:pt idx="502">
                  <c:v>158.03550986767544</c:v>
                </c:pt>
                <c:pt idx="503">
                  <c:v>157.84320374613358</c:v>
                </c:pt>
                <c:pt idx="504">
                  <c:v>157.6731949820657</c:v>
                </c:pt>
                <c:pt idx="505">
                  <c:v>157.52497437634904</c:v>
                </c:pt>
                <c:pt idx="506">
                  <c:v>157.39802219538635</c:v>
                </c:pt>
                <c:pt idx="507">
                  <c:v>157.29180869863708</c:v>
                </c:pt>
                <c:pt idx="508">
                  <c:v>157.20579470099986</c:v>
                </c:pt>
                <c:pt idx="509">
                  <c:v>157.13943217146394</c:v>
                </c:pt>
                <c:pt idx="510">
                  <c:v>157.09216486894471</c:v>
                </c:pt>
                <c:pt idx="511">
                  <c:v>157.063429015704</c:v>
                </c:pt>
                <c:pt idx="512">
                  <c:v>157.05265400820227</c:v>
                </c:pt>
                <c:pt idx="513">
                  <c:v>157.05926316467654</c:v>
                </c:pt>
                <c:pt idx="514">
                  <c:v>157.08267450817911</c:v>
                </c:pt>
                <c:pt idx="515">
                  <c:v>157.12230158324778</c:v>
                </c:pt>
                <c:pt idx="516">
                  <c:v>157.17755430384116</c:v>
                </c:pt>
                <c:pt idx="517">
                  <c:v>157.24783982964212</c:v>
                </c:pt>
                <c:pt idx="518">
                  <c:v>157.33256346734413</c:v>
                </c:pt>
                <c:pt idx="519">
                  <c:v>157.43112959307683</c:v>
                </c:pt>
                <c:pt idx="520">
                  <c:v>157.54294259171897</c:v>
                </c:pt>
                <c:pt idx="521">
                  <c:v>157.66740780849273</c:v>
                </c:pt>
                <c:pt idx="522">
                  <c:v>157.80393250793287</c:v>
                </c:pt>
                <c:pt idx="523">
                  <c:v>157.95192683509873</c:v>
                </c:pt>
                <c:pt idx="524">
                  <c:v>158.11080477372323</c:v>
                </c:pt>
                <c:pt idx="525">
                  <c:v>158.27998509591401</c:v>
                </c:pt>
                <c:pt idx="526">
                  <c:v>158.45889229798556</c:v>
                </c:pt>
                <c:pt idx="527">
                  <c:v>158.64695751707544</c:v>
                </c:pt>
                <c:pt idx="528">
                  <c:v>158.84361942328576</c:v>
                </c:pt>
                <c:pt idx="529">
                  <c:v>159.04832508233068</c:v>
                </c:pt>
                <c:pt idx="530">
                  <c:v>159.26053078387</c:v>
                </c:pt>
                <c:pt idx="531">
                  <c:v>159.47970283106878</c:v>
                </c:pt>
                <c:pt idx="532">
                  <c:v>159.70531828725925</c:v>
                </c:pt>
                <c:pt idx="533">
                  <c:v>159.93686567600693</c:v>
                </c:pt>
                <c:pt idx="534">
                  <c:v>160.17384563131995</c:v>
                </c:pt>
                <c:pt idx="535">
                  <c:v>160.41577149523042</c:v>
                </c:pt>
                <c:pt idx="536">
                  <c:v>160.66216986046334</c:v>
                </c:pt>
                <c:pt idx="537">
                  <c:v>160.91258105642919</c:v>
                </c:pt>
                <c:pt idx="538">
                  <c:v>161.16655957728548</c:v>
                </c:pt>
                <c:pt idx="539">
                  <c:v>161.42367445132814</c:v>
                </c:pt>
                <c:pt idx="540">
                  <c:v>161.6835095514721</c:v>
                </c:pt>
                <c:pt idx="541">
                  <c:v>161.94566384706479</c:v>
                </c:pt>
              </c:numCache>
            </c:numRef>
          </c:yVal>
          <c:smooth val="1"/>
          <c:extLst>
            <c:ext xmlns:c16="http://schemas.microsoft.com/office/drawing/2014/chart" uri="{C3380CC4-5D6E-409C-BE32-E72D297353CC}">
              <c16:uniqueId val="{00000001-F188-4D39-B62C-FFCB026FFDB3}"/>
            </c:ext>
          </c:extLst>
        </c:ser>
        <c:dLbls>
          <c:showLegendKey val="0"/>
          <c:showVal val="0"/>
          <c:showCatName val="0"/>
          <c:showSerName val="0"/>
          <c:showPercent val="0"/>
          <c:showBubbleSize val="0"/>
        </c:dLbls>
        <c:axId val="161005952"/>
        <c:axId val="160987776"/>
      </c:scatterChart>
      <c:valAx>
        <c:axId val="160959104"/>
        <c:scaling>
          <c:logBase val="10"/>
          <c:orientation val="minMax"/>
          <c:max val="2200000"/>
          <c:min val="10"/>
        </c:scaling>
        <c:delete val="0"/>
        <c:axPos val="b"/>
        <c:minorGridlines/>
        <c:title>
          <c:tx>
            <c:rich>
              <a:bodyPr/>
              <a:lstStyle/>
              <a:p>
                <a:pPr>
                  <a:defRPr/>
                </a:pPr>
                <a:r>
                  <a:rPr lang="en-US"/>
                  <a:t>Frequency</a:t>
                </a:r>
                <a:r>
                  <a:rPr lang="en-US" baseline="0"/>
                  <a:t> (Hz)</a:t>
                </a:r>
                <a:endParaRPr lang="en-US"/>
              </a:p>
            </c:rich>
          </c:tx>
          <c:overlay val="0"/>
        </c:title>
        <c:numFmt formatCode="0" sourceLinked="0"/>
        <c:majorTickMark val="out"/>
        <c:minorTickMark val="none"/>
        <c:tickLblPos val="low"/>
        <c:crossAx val="160985856"/>
        <c:crosses val="autoZero"/>
        <c:crossBetween val="midCat"/>
      </c:valAx>
      <c:valAx>
        <c:axId val="160985856"/>
        <c:scaling>
          <c:orientation val="minMax"/>
          <c:max val="40"/>
          <c:min val="-40"/>
        </c:scaling>
        <c:delete val="0"/>
        <c:axPos val="l"/>
        <c:majorGridlines/>
        <c:minorGridlines/>
        <c:title>
          <c:tx>
            <c:rich>
              <a:bodyPr rot="-5400000" vert="horz"/>
              <a:lstStyle/>
              <a:p>
                <a:pPr>
                  <a:defRPr/>
                </a:pPr>
                <a:r>
                  <a:rPr lang="en-US">
                    <a:solidFill>
                      <a:srgbClr val="FF0000"/>
                    </a:solidFill>
                  </a:rPr>
                  <a:t>Gain</a:t>
                </a:r>
                <a:r>
                  <a:rPr lang="en-US" baseline="0">
                    <a:solidFill>
                      <a:srgbClr val="FF0000"/>
                    </a:solidFill>
                  </a:rPr>
                  <a:t> (dB)</a:t>
                </a:r>
                <a:endParaRPr lang="en-US">
                  <a:solidFill>
                    <a:srgbClr val="FF0000"/>
                  </a:solidFill>
                </a:endParaRPr>
              </a:p>
            </c:rich>
          </c:tx>
          <c:overlay val="0"/>
        </c:title>
        <c:numFmt formatCode="General" sourceLinked="0"/>
        <c:majorTickMark val="out"/>
        <c:minorTickMark val="none"/>
        <c:tickLblPos val="nextTo"/>
        <c:txPr>
          <a:bodyPr/>
          <a:lstStyle/>
          <a:p>
            <a:pPr>
              <a:defRPr>
                <a:solidFill>
                  <a:srgbClr val="FF0000"/>
                </a:solidFill>
              </a:defRPr>
            </a:pPr>
            <a:endParaRPr lang="en-US"/>
          </a:p>
        </c:txPr>
        <c:crossAx val="160959104"/>
        <c:crosses val="autoZero"/>
        <c:crossBetween val="midCat"/>
        <c:majorUnit val="20"/>
        <c:minorUnit val="10"/>
      </c:valAx>
      <c:valAx>
        <c:axId val="160987776"/>
        <c:scaling>
          <c:orientation val="minMax"/>
          <c:max val="180"/>
          <c:min val="-180"/>
        </c:scaling>
        <c:delete val="0"/>
        <c:axPos val="r"/>
        <c:numFmt formatCode="General" sourceLinked="1"/>
        <c:majorTickMark val="out"/>
        <c:minorTickMark val="none"/>
        <c:tickLblPos val="nextTo"/>
        <c:txPr>
          <a:bodyPr/>
          <a:lstStyle/>
          <a:p>
            <a:pPr>
              <a:defRPr>
                <a:solidFill>
                  <a:schemeClr val="tx1">
                    <a:lumMod val="95000"/>
                    <a:lumOff val="5000"/>
                  </a:schemeClr>
                </a:solidFill>
              </a:defRPr>
            </a:pPr>
            <a:endParaRPr lang="en-US"/>
          </a:p>
        </c:txPr>
        <c:crossAx val="161005952"/>
        <c:crosses val="max"/>
        <c:crossBetween val="midCat"/>
        <c:majorUnit val="90"/>
        <c:minorUnit val="45"/>
      </c:valAx>
      <c:valAx>
        <c:axId val="161005952"/>
        <c:scaling>
          <c:logBase val="10"/>
          <c:orientation val="minMax"/>
        </c:scaling>
        <c:delete val="1"/>
        <c:axPos val="b"/>
        <c:numFmt formatCode="0.00" sourceLinked="1"/>
        <c:majorTickMark val="out"/>
        <c:minorTickMark val="none"/>
        <c:tickLblPos val="nextTo"/>
        <c:crossAx val="160987776"/>
        <c:crosses val="autoZero"/>
        <c:crossBetween val="midCat"/>
      </c:valAx>
    </c:plotArea>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TW"/>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2400"/>
            </a:pPr>
            <a:r>
              <a:rPr lang="el-GR" sz="2400"/>
              <a:t>η</a:t>
            </a:r>
            <a:endParaRPr lang="en-US" sz="2400"/>
          </a:p>
        </c:rich>
      </c:tx>
      <c:layout>
        <c:manualLayout>
          <c:xMode val="edge"/>
          <c:yMode val="edge"/>
          <c:x val="9.2321838295158831E-2"/>
          <c:y val="6.7069081153588199E-3"/>
        </c:manualLayout>
      </c:layout>
      <c:overlay val="1"/>
    </c:title>
    <c:autoTitleDeleted val="0"/>
    <c:plotArea>
      <c:layout>
        <c:manualLayout>
          <c:layoutTarget val="inner"/>
          <c:xMode val="edge"/>
          <c:yMode val="edge"/>
          <c:x val="9.4343575816580413E-2"/>
          <c:y val="0.12777504924560487"/>
          <c:w val="0.82170691922728745"/>
          <c:h val="0.74982770867653059"/>
        </c:manualLayout>
      </c:layout>
      <c:scatterChart>
        <c:scatterStyle val="smoothMarker"/>
        <c:varyColors val="0"/>
        <c:ser>
          <c:idx val="0"/>
          <c:order val="0"/>
          <c:tx>
            <c:v>Eff</c:v>
          </c:tx>
          <c:spPr>
            <a:ln>
              <a:solidFill>
                <a:srgbClr val="FF0000"/>
              </a:solidFill>
            </a:ln>
          </c:spPr>
          <c:marker>
            <c:symbol val="none"/>
          </c:marker>
          <c:xVal>
            <c:numRef>
              <c:f>Eff_vs_IOUT!$S$7:$S$157</c:f>
              <c:numCache>
                <c:formatCode>General</c:formatCode>
                <c:ptCount val="151"/>
                <c:pt idx="0">
                  <c:v>0</c:v>
                </c:pt>
                <c:pt idx="1">
                  <c:v>3.3333333333333335E-3</c:v>
                </c:pt>
                <c:pt idx="2">
                  <c:v>6.6666666666666671E-3</c:v>
                </c:pt>
                <c:pt idx="3">
                  <c:v>0.01</c:v>
                </c:pt>
                <c:pt idx="4">
                  <c:v>1.3333333333333334E-2</c:v>
                </c:pt>
                <c:pt idx="5">
                  <c:v>1.6666666666666666E-2</c:v>
                </c:pt>
                <c:pt idx="6">
                  <c:v>0.02</c:v>
                </c:pt>
                <c:pt idx="7">
                  <c:v>2.3333333333333334E-2</c:v>
                </c:pt>
                <c:pt idx="8">
                  <c:v>2.6666666666666668E-2</c:v>
                </c:pt>
                <c:pt idx="9">
                  <c:v>3.0000000000000002E-2</c:v>
                </c:pt>
                <c:pt idx="10">
                  <c:v>3.3333333333333333E-2</c:v>
                </c:pt>
                <c:pt idx="11">
                  <c:v>3.6666666666666667E-2</c:v>
                </c:pt>
                <c:pt idx="12">
                  <c:v>0.04</c:v>
                </c:pt>
                <c:pt idx="13">
                  <c:v>4.3333333333333335E-2</c:v>
                </c:pt>
                <c:pt idx="14">
                  <c:v>4.6666666666666669E-2</c:v>
                </c:pt>
                <c:pt idx="15">
                  <c:v>0.05</c:v>
                </c:pt>
                <c:pt idx="16">
                  <c:v>5.3333333333333337E-2</c:v>
                </c:pt>
                <c:pt idx="17">
                  <c:v>5.6666666666666671E-2</c:v>
                </c:pt>
                <c:pt idx="18">
                  <c:v>6.0000000000000005E-2</c:v>
                </c:pt>
                <c:pt idx="19">
                  <c:v>6.3333333333333339E-2</c:v>
                </c:pt>
                <c:pt idx="20">
                  <c:v>6.6666666666666666E-2</c:v>
                </c:pt>
                <c:pt idx="21">
                  <c:v>7.0000000000000007E-2</c:v>
                </c:pt>
                <c:pt idx="22">
                  <c:v>7.3333333333333334E-2</c:v>
                </c:pt>
                <c:pt idx="23">
                  <c:v>7.6666666666666675E-2</c:v>
                </c:pt>
                <c:pt idx="24">
                  <c:v>0.08</c:v>
                </c:pt>
                <c:pt idx="25">
                  <c:v>8.3333333333333343E-2</c:v>
                </c:pt>
                <c:pt idx="26">
                  <c:v>8.666666666666667E-2</c:v>
                </c:pt>
                <c:pt idx="27">
                  <c:v>9.0000000000000011E-2</c:v>
                </c:pt>
                <c:pt idx="28">
                  <c:v>9.3333333333333338E-2</c:v>
                </c:pt>
                <c:pt idx="29">
                  <c:v>9.6666666666666679E-2</c:v>
                </c:pt>
                <c:pt idx="30">
                  <c:v>0.1</c:v>
                </c:pt>
                <c:pt idx="31">
                  <c:v>0.10333333333333335</c:v>
                </c:pt>
                <c:pt idx="32">
                  <c:v>0.10666666666666667</c:v>
                </c:pt>
                <c:pt idx="33">
                  <c:v>0.11</c:v>
                </c:pt>
                <c:pt idx="34">
                  <c:v>0.11333333333333334</c:v>
                </c:pt>
                <c:pt idx="35">
                  <c:v>0.11666666666666667</c:v>
                </c:pt>
                <c:pt idx="36">
                  <c:v>0.12000000000000001</c:v>
                </c:pt>
                <c:pt idx="37">
                  <c:v>0.12333333333333334</c:v>
                </c:pt>
                <c:pt idx="38">
                  <c:v>0.12666666666666668</c:v>
                </c:pt>
                <c:pt idx="39">
                  <c:v>0.13</c:v>
                </c:pt>
                <c:pt idx="40">
                  <c:v>0.13333333333333333</c:v>
                </c:pt>
                <c:pt idx="41">
                  <c:v>0.13666666666666669</c:v>
                </c:pt>
                <c:pt idx="42">
                  <c:v>0.14000000000000001</c:v>
                </c:pt>
                <c:pt idx="43">
                  <c:v>0.14333333333333334</c:v>
                </c:pt>
                <c:pt idx="44">
                  <c:v>0.14666666666666667</c:v>
                </c:pt>
                <c:pt idx="45">
                  <c:v>0.15000000000000002</c:v>
                </c:pt>
                <c:pt idx="46">
                  <c:v>0.15333333333333335</c:v>
                </c:pt>
                <c:pt idx="47">
                  <c:v>0.15666666666666668</c:v>
                </c:pt>
                <c:pt idx="48">
                  <c:v>0.16</c:v>
                </c:pt>
                <c:pt idx="49">
                  <c:v>0.16333333333333333</c:v>
                </c:pt>
                <c:pt idx="50">
                  <c:v>0.16666666666666669</c:v>
                </c:pt>
                <c:pt idx="51">
                  <c:v>0.17</c:v>
                </c:pt>
                <c:pt idx="52">
                  <c:v>0.17333333333333334</c:v>
                </c:pt>
                <c:pt idx="53">
                  <c:v>0.17666666666666667</c:v>
                </c:pt>
                <c:pt idx="54">
                  <c:v>0.18000000000000002</c:v>
                </c:pt>
                <c:pt idx="55">
                  <c:v>0.18333333333333335</c:v>
                </c:pt>
                <c:pt idx="56">
                  <c:v>0.18666666666666668</c:v>
                </c:pt>
                <c:pt idx="57">
                  <c:v>0.19</c:v>
                </c:pt>
                <c:pt idx="58">
                  <c:v>0.19333333333333336</c:v>
                </c:pt>
                <c:pt idx="59">
                  <c:v>0.19666666666666668</c:v>
                </c:pt>
                <c:pt idx="60">
                  <c:v>0.2</c:v>
                </c:pt>
                <c:pt idx="61">
                  <c:v>0.20333333333333334</c:v>
                </c:pt>
                <c:pt idx="62">
                  <c:v>0.20666666666666669</c:v>
                </c:pt>
                <c:pt idx="63">
                  <c:v>0.21000000000000002</c:v>
                </c:pt>
                <c:pt idx="64">
                  <c:v>0.21333333333333335</c:v>
                </c:pt>
                <c:pt idx="65">
                  <c:v>0.21666666666666667</c:v>
                </c:pt>
                <c:pt idx="66">
                  <c:v>0.22</c:v>
                </c:pt>
                <c:pt idx="67">
                  <c:v>0.22333333333333336</c:v>
                </c:pt>
                <c:pt idx="68">
                  <c:v>0.22666666666666668</c:v>
                </c:pt>
                <c:pt idx="69">
                  <c:v>0.23</c:v>
                </c:pt>
                <c:pt idx="70">
                  <c:v>0.23333333333333334</c:v>
                </c:pt>
                <c:pt idx="71">
                  <c:v>0.23666666666666669</c:v>
                </c:pt>
                <c:pt idx="72">
                  <c:v>0.24000000000000002</c:v>
                </c:pt>
                <c:pt idx="73">
                  <c:v>0.24333333333333335</c:v>
                </c:pt>
                <c:pt idx="74">
                  <c:v>0.24666666666666667</c:v>
                </c:pt>
                <c:pt idx="75">
                  <c:v>0.25</c:v>
                </c:pt>
                <c:pt idx="76">
                  <c:v>0.25333333333333335</c:v>
                </c:pt>
                <c:pt idx="77">
                  <c:v>0.25666666666666671</c:v>
                </c:pt>
                <c:pt idx="78">
                  <c:v>0.26</c:v>
                </c:pt>
                <c:pt idx="79">
                  <c:v>0.26333333333333336</c:v>
                </c:pt>
                <c:pt idx="80">
                  <c:v>0.26666666666666666</c:v>
                </c:pt>
                <c:pt idx="81">
                  <c:v>0.27</c:v>
                </c:pt>
                <c:pt idx="82">
                  <c:v>0.27333333333333337</c:v>
                </c:pt>
                <c:pt idx="83">
                  <c:v>0.27666666666666667</c:v>
                </c:pt>
                <c:pt idx="84">
                  <c:v>0.28000000000000003</c:v>
                </c:pt>
                <c:pt idx="85">
                  <c:v>0.28333333333333333</c:v>
                </c:pt>
                <c:pt idx="86">
                  <c:v>0.28666666666666668</c:v>
                </c:pt>
                <c:pt idx="87">
                  <c:v>0.29000000000000004</c:v>
                </c:pt>
                <c:pt idx="88">
                  <c:v>0.29333333333333333</c:v>
                </c:pt>
                <c:pt idx="89">
                  <c:v>0.29666666666666669</c:v>
                </c:pt>
                <c:pt idx="90">
                  <c:v>0.30000000000000004</c:v>
                </c:pt>
                <c:pt idx="91">
                  <c:v>0.30333333333333334</c:v>
                </c:pt>
                <c:pt idx="92">
                  <c:v>0.3066666666666667</c:v>
                </c:pt>
                <c:pt idx="93">
                  <c:v>0.31</c:v>
                </c:pt>
                <c:pt idx="94">
                  <c:v>0.31333333333333335</c:v>
                </c:pt>
                <c:pt idx="95">
                  <c:v>0.31666666666666671</c:v>
                </c:pt>
                <c:pt idx="96">
                  <c:v>0.32</c:v>
                </c:pt>
                <c:pt idx="97">
                  <c:v>0.32333333333333336</c:v>
                </c:pt>
                <c:pt idx="98">
                  <c:v>0.32666666666666666</c:v>
                </c:pt>
                <c:pt idx="99">
                  <c:v>0.33</c:v>
                </c:pt>
                <c:pt idx="100">
                  <c:v>0.33333333333333337</c:v>
                </c:pt>
                <c:pt idx="101">
                  <c:v>0.33666666666666667</c:v>
                </c:pt>
                <c:pt idx="102">
                  <c:v>0.34</c:v>
                </c:pt>
                <c:pt idx="103">
                  <c:v>0.34333333333333338</c:v>
                </c:pt>
                <c:pt idx="104">
                  <c:v>0.34666666666666668</c:v>
                </c:pt>
                <c:pt idx="105">
                  <c:v>0.35000000000000003</c:v>
                </c:pt>
                <c:pt idx="106">
                  <c:v>0.35333333333333333</c:v>
                </c:pt>
                <c:pt idx="107">
                  <c:v>0.35666666666666669</c:v>
                </c:pt>
                <c:pt idx="108">
                  <c:v>0.36000000000000004</c:v>
                </c:pt>
                <c:pt idx="109">
                  <c:v>0.36333333333333334</c:v>
                </c:pt>
                <c:pt idx="110">
                  <c:v>0.3666666666666667</c:v>
                </c:pt>
                <c:pt idx="111">
                  <c:v>0.37000000000000005</c:v>
                </c:pt>
                <c:pt idx="112">
                  <c:v>0.37333333333333335</c:v>
                </c:pt>
                <c:pt idx="113">
                  <c:v>0.37666666666666671</c:v>
                </c:pt>
                <c:pt idx="114">
                  <c:v>0.38</c:v>
                </c:pt>
                <c:pt idx="115">
                  <c:v>0.38333333333333336</c:v>
                </c:pt>
                <c:pt idx="116">
                  <c:v>0.38666666666666671</c:v>
                </c:pt>
                <c:pt idx="117">
                  <c:v>0.39</c:v>
                </c:pt>
                <c:pt idx="118">
                  <c:v>0.39333333333333337</c:v>
                </c:pt>
                <c:pt idx="119">
                  <c:v>0.39666666666666667</c:v>
                </c:pt>
                <c:pt idx="120">
                  <c:v>0.4</c:v>
                </c:pt>
                <c:pt idx="121">
                  <c:v>0.40333333333333338</c:v>
                </c:pt>
                <c:pt idx="122">
                  <c:v>0.40666666666666668</c:v>
                </c:pt>
                <c:pt idx="123">
                  <c:v>0.41000000000000003</c:v>
                </c:pt>
                <c:pt idx="124">
                  <c:v>0.41333333333333339</c:v>
                </c:pt>
                <c:pt idx="125">
                  <c:v>0.41666666666666669</c:v>
                </c:pt>
                <c:pt idx="126">
                  <c:v>0.42000000000000004</c:v>
                </c:pt>
                <c:pt idx="127">
                  <c:v>0.42333333333333334</c:v>
                </c:pt>
                <c:pt idx="128">
                  <c:v>0.42666666666666669</c:v>
                </c:pt>
                <c:pt idx="129">
                  <c:v>0.43000000000000005</c:v>
                </c:pt>
                <c:pt idx="130">
                  <c:v>0.43333333333333335</c:v>
                </c:pt>
                <c:pt idx="131">
                  <c:v>0.4366666666666667</c:v>
                </c:pt>
                <c:pt idx="132">
                  <c:v>0.44</c:v>
                </c:pt>
                <c:pt idx="133">
                  <c:v>0.44333333333333336</c:v>
                </c:pt>
                <c:pt idx="134">
                  <c:v>0.44666666666666671</c:v>
                </c:pt>
                <c:pt idx="135">
                  <c:v>0.45</c:v>
                </c:pt>
                <c:pt idx="136">
                  <c:v>0.45333333333333337</c:v>
                </c:pt>
                <c:pt idx="137">
                  <c:v>0.45666666666666672</c:v>
                </c:pt>
                <c:pt idx="138">
                  <c:v>0.46</c:v>
                </c:pt>
                <c:pt idx="139">
                  <c:v>0.46333333333333337</c:v>
                </c:pt>
                <c:pt idx="140">
                  <c:v>0.46666666666666667</c:v>
                </c:pt>
                <c:pt idx="141">
                  <c:v>0.47000000000000003</c:v>
                </c:pt>
                <c:pt idx="142">
                  <c:v>0.47333333333333338</c:v>
                </c:pt>
                <c:pt idx="143">
                  <c:v>0.47666666666666668</c:v>
                </c:pt>
                <c:pt idx="144">
                  <c:v>0.48000000000000004</c:v>
                </c:pt>
                <c:pt idx="145">
                  <c:v>0.48333333333333334</c:v>
                </c:pt>
                <c:pt idx="146">
                  <c:v>0.48666666666666669</c:v>
                </c:pt>
                <c:pt idx="147">
                  <c:v>0.49000000000000005</c:v>
                </c:pt>
                <c:pt idx="148">
                  <c:v>0.49333333333333335</c:v>
                </c:pt>
                <c:pt idx="149">
                  <c:v>0.4966666666666667</c:v>
                </c:pt>
                <c:pt idx="150">
                  <c:v>0.5</c:v>
                </c:pt>
              </c:numCache>
            </c:numRef>
          </c:xVal>
          <c:yVal>
            <c:numRef>
              <c:f>Eff_vs_IOUT!$AT$7:$AT$157</c:f>
              <c:numCache>
                <c:formatCode>General</c:formatCode>
                <c:ptCount val="151"/>
                <c:pt idx="0">
                  <c:v>0</c:v>
                </c:pt>
                <c:pt idx="1">
                  <c:v>31.890746358682115</c:v>
                </c:pt>
                <c:pt idx="2">
                  <c:v>48.130228536253192</c:v>
                </c:pt>
                <c:pt idx="3">
                  <c:v>57.969441816380595</c:v>
                </c:pt>
                <c:pt idx="4">
                  <c:v>64.56885353811947</c:v>
                </c:pt>
                <c:pt idx="5">
                  <c:v>69.302213995444646</c:v>
                </c:pt>
                <c:pt idx="6">
                  <c:v>72.862805764574901</c:v>
                </c:pt>
                <c:pt idx="7">
                  <c:v>75.638338668367467</c:v>
                </c:pt>
                <c:pt idx="8">
                  <c:v>77.862593690326293</c:v>
                </c:pt>
                <c:pt idx="9">
                  <c:v>79.684915344412531</c:v>
                </c:pt>
                <c:pt idx="10">
                  <c:v>81.205174655327568</c:v>
                </c:pt>
                <c:pt idx="11">
                  <c:v>82.492688258754342</c:v>
                </c:pt>
                <c:pt idx="12">
                  <c:v>83.597072620049559</c:v>
                </c:pt>
                <c:pt idx="13">
                  <c:v>84.554778189969255</c:v>
                </c:pt>
                <c:pt idx="14">
                  <c:v>85.393184682930823</c:v>
                </c:pt>
                <c:pt idx="15">
                  <c:v>86.133257302776158</c:v>
                </c:pt>
                <c:pt idx="16">
                  <c:v>86.791321223726939</c:v>
                </c:pt>
                <c:pt idx="17">
                  <c:v>87.380277902992603</c:v>
                </c:pt>
                <c:pt idx="18">
                  <c:v>87.910457855102123</c:v>
                </c:pt>
                <c:pt idx="19">
                  <c:v>88.39023063722334</c:v>
                </c:pt>
                <c:pt idx="20">
                  <c:v>88.826449035025263</c:v>
                </c:pt>
                <c:pt idx="21">
                  <c:v>89.224777746582248</c:v>
                </c:pt>
                <c:pt idx="22">
                  <c:v>89.58994014809349</c:v>
                </c:pt>
                <c:pt idx="23">
                  <c:v>89.925906010421016</c:v>
                </c:pt>
                <c:pt idx="24">
                  <c:v>90.236036018983043</c:v>
                </c:pt>
                <c:pt idx="25">
                  <c:v>90.52319426543221</c:v>
                </c:pt>
                <c:pt idx="26">
                  <c:v>90.78983669703679</c:v>
                </c:pt>
                <c:pt idx="27">
                  <c:v>91.038081312309458</c:v>
                </c:pt>
                <c:pt idx="28">
                  <c:v>91.269764351631409</c:v>
                </c:pt>
                <c:pt idx="29">
                  <c:v>91.48648563778832</c:v>
                </c:pt>
                <c:pt idx="30">
                  <c:v>91.689645434427874</c:v>
                </c:pt>
                <c:pt idx="31">
                  <c:v>91.880474617671297</c:v>
                </c:pt>
                <c:pt idx="32">
                  <c:v>92.060059534619867</c:v>
                </c:pt>
                <c:pt idx="33">
                  <c:v>92.229362609160432</c:v>
                </c:pt>
                <c:pt idx="34">
                  <c:v>92.389239520310198</c:v>
                </c:pt>
                <c:pt idx="35">
                  <c:v>92.540453600264925</c:v>
                </c:pt>
                <c:pt idx="36">
                  <c:v>92.683687963332531</c:v>
                </c:pt>
                <c:pt idx="37">
                  <c:v>92.819555772272849</c:v>
                </c:pt>
                <c:pt idx="38">
                  <c:v>92.911096295170367</c:v>
                </c:pt>
                <c:pt idx="39">
                  <c:v>93.033141995527231</c:v>
                </c:pt>
                <c:pt idx="40">
                  <c:v>93.149284087511731</c:v>
                </c:pt>
                <c:pt idx="41">
                  <c:v>93.259933638512749</c:v>
                </c:pt>
                <c:pt idx="42">
                  <c:v>93.365464418781784</c:v>
                </c:pt>
                <c:pt idx="43">
                  <c:v>93.466217037684174</c:v>
                </c:pt>
                <c:pt idx="44">
                  <c:v>93.562502541442214</c:v>
                </c:pt>
                <c:pt idx="45">
                  <c:v>93.654605552427611</c:v>
                </c:pt>
                <c:pt idx="46">
                  <c:v>93.742787016741588</c:v>
                </c:pt>
                <c:pt idx="47">
                  <c:v>93.827286615944061</c:v>
                </c:pt>
                <c:pt idx="48">
                  <c:v>93.908324889869917</c:v>
                </c:pt>
                <c:pt idx="49">
                  <c:v>93.986105110121599</c:v>
                </c:pt>
                <c:pt idx="50">
                  <c:v>94.060814937744624</c:v>
                </c:pt>
                <c:pt idx="51">
                  <c:v>94.132627893544864</c:v>
                </c:pt>
                <c:pt idx="52">
                  <c:v>94.201704665295892</c:v>
                </c:pt>
                <c:pt idx="53">
                  <c:v>94.268194272563804</c:v>
                </c:pt>
                <c:pt idx="54">
                  <c:v>94.332235106919882</c:v>
                </c:pt>
                <c:pt idx="55">
                  <c:v>94.393955862821727</c:v>
                </c:pt>
                <c:pt idx="56">
                  <c:v>94.453476372338159</c:v>
                </c:pt>
                <c:pt idx="57">
                  <c:v>94.510908355110161</c:v>
                </c:pt>
                <c:pt idx="58">
                  <c:v>94.566356093422428</c:v>
                </c:pt>
                <c:pt idx="59">
                  <c:v>94.619917040967806</c:v>
                </c:pt>
                <c:pt idx="60">
                  <c:v>94.671682372780182</c:v>
                </c:pt>
                <c:pt idx="61">
                  <c:v>94.721737482863972</c:v>
                </c:pt>
                <c:pt idx="62">
                  <c:v>94.770162435233274</c:v>
                </c:pt>
                <c:pt idx="63">
                  <c:v>94.81703237337139</c:v>
                </c:pt>
                <c:pt idx="64">
                  <c:v>94.862417892514983</c:v>
                </c:pt>
                <c:pt idx="65">
                  <c:v>94.906385378642085</c:v>
                </c:pt>
                <c:pt idx="66">
                  <c:v>94.948997317586873</c:v>
                </c:pt>
                <c:pt idx="67">
                  <c:v>94.990312577308217</c:v>
                </c:pt>
                <c:pt idx="68">
                  <c:v>95.030386665993589</c:v>
                </c:pt>
                <c:pt idx="69">
                  <c:v>95.069271968377407</c:v>
                </c:pt>
                <c:pt idx="70">
                  <c:v>95.107017962389705</c:v>
                </c:pt>
                <c:pt idx="71">
                  <c:v>95.143671418018954</c:v>
                </c:pt>
                <c:pt idx="72">
                  <c:v>95.179276580069427</c:v>
                </c:pt>
                <c:pt idx="73">
                  <c:v>95.213875336314828</c:v>
                </c:pt>
                <c:pt idx="74">
                  <c:v>95.247507372391354</c:v>
                </c:pt>
                <c:pt idx="75">
                  <c:v>95.280210314634758</c:v>
                </c:pt>
                <c:pt idx="76">
                  <c:v>95.312019861942005</c:v>
                </c:pt>
                <c:pt idx="77">
                  <c:v>95.342969907628785</c:v>
                </c:pt>
                <c:pt idx="78">
                  <c:v>95.373092652157723</c:v>
                </c:pt>
                <c:pt idx="79">
                  <c:v>95.402418707524973</c:v>
                </c:pt>
                <c:pt idx="80">
                  <c:v>95.430977194016947</c:v>
                </c:pt>
                <c:pt idx="81">
                  <c:v>95.458795829979564</c:v>
                </c:pt>
                <c:pt idx="82">
                  <c:v>95.485901015182137</c:v>
                </c:pt>
                <c:pt idx="83">
                  <c:v>95.512317908302606</c:v>
                </c:pt>
                <c:pt idx="84">
                  <c:v>95.538070499012122</c:v>
                </c:pt>
                <c:pt idx="85">
                  <c:v>95.563181675093318</c:v>
                </c:pt>
                <c:pt idx="86">
                  <c:v>95.587673284986721</c:v>
                </c:pt>
                <c:pt idx="87">
                  <c:v>95.611566196124485</c:v>
                </c:pt>
                <c:pt idx="88">
                  <c:v>95.63488034937923</c:v>
                </c:pt>
                <c:pt idx="89">
                  <c:v>95.657634809925796</c:v>
                </c:pt>
                <c:pt idx="90">
                  <c:v>95.679847814789383</c:v>
                </c:pt>
                <c:pt idx="91">
                  <c:v>95.701536817328702</c:v>
                </c:pt>
                <c:pt idx="92">
                  <c:v>95.72271852888241</c:v>
                </c:pt>
                <c:pt idx="93">
                  <c:v>95.743408957787551</c:v>
                </c:pt>
                <c:pt idx="94">
                  <c:v>95.76362344596167</c:v>
                </c:pt>
                <c:pt idx="95">
                  <c:v>95.783376703223936</c:v>
                </c:pt>
                <c:pt idx="96">
                  <c:v>95.802682839516933</c:v>
                </c:pt>
                <c:pt idx="97">
                  <c:v>95.821555395177256</c:v>
                </c:pt>
                <c:pt idx="98">
                  <c:v>95.840007369391415</c:v>
                </c:pt>
                <c:pt idx="99">
                  <c:v>95.858051246962745</c:v>
                </c:pt>
                <c:pt idx="100">
                  <c:v>95.875699023505092</c:v>
                </c:pt>
                <c:pt idx="101">
                  <c:v>95.892962229170209</c:v>
                </c:pt>
                <c:pt idx="102">
                  <c:v>95.909851951007198</c:v>
                </c:pt>
                <c:pt idx="103">
                  <c:v>95.926378854045495</c:v>
                </c:pt>
                <c:pt idx="104">
                  <c:v>95.942553201185461</c:v>
                </c:pt>
                <c:pt idx="105">
                  <c:v>95.958384871974289</c:v>
                </c:pt>
                <c:pt idx="106">
                  <c:v>95.973883380339828</c:v>
                </c:pt>
                <c:pt idx="107">
                  <c:v>95.989057891348978</c:v>
                </c:pt>
                <c:pt idx="108">
                  <c:v>96.003917237052576</c:v>
                </c:pt>
                <c:pt idx="109">
                  <c:v>96.018469931474641</c:v>
                </c:pt>
                <c:pt idx="110">
                  <c:v>96.032724184799093</c:v>
                </c:pt>
                <c:pt idx="111">
                  <c:v>96.046687916803819</c:v>
                </c:pt>
                <c:pt idx="112">
                  <c:v>96.06036876958828</c:v>
                </c:pt>
                <c:pt idx="113">
                  <c:v>96.073774119637363</c:v>
                </c:pt>
                <c:pt idx="114">
                  <c:v>96.086911089261989</c:v>
                </c:pt>
                <c:pt idx="115">
                  <c:v>96.099786557453186</c:v>
                </c:pt>
                <c:pt idx="116">
                  <c:v>96.112407170184838</c:v>
                </c:pt>
                <c:pt idx="117">
                  <c:v>96.124779350197286</c:v>
                </c:pt>
                <c:pt idx="118">
                  <c:v>96.136909306291983</c:v>
                </c:pt>
                <c:pt idx="119">
                  <c:v>96.148803042165838</c:v>
                </c:pt>
                <c:pt idx="120">
                  <c:v>96.160466364811114</c:v>
                </c:pt>
                <c:pt idx="121">
                  <c:v>96.171904892506078</c:v>
                </c:pt>
                <c:pt idx="122">
                  <c:v>96.183124062419125</c:v>
                </c:pt>
                <c:pt idx="123">
                  <c:v>96.194129137848222</c:v>
                </c:pt>
                <c:pt idx="124">
                  <c:v>96.204925215115878</c:v>
                </c:pt>
                <c:pt idx="125">
                  <c:v>96.215517230138502</c:v>
                </c:pt>
                <c:pt idx="126">
                  <c:v>96.225909964688086</c:v>
                </c:pt>
                <c:pt idx="127">
                  <c:v>96.236108052362809</c:v>
                </c:pt>
                <c:pt idx="128">
                  <c:v>96.246115984282383</c:v>
                </c:pt>
                <c:pt idx="129">
                  <c:v>96.255938114522451</c:v>
                </c:pt>
                <c:pt idx="130">
                  <c:v>96.265578665302357</c:v>
                </c:pt>
                <c:pt idx="131">
                  <c:v>96.275041731939027</c:v>
                </c:pt>
                <c:pt idx="132">
                  <c:v>96.284331287578979</c:v>
                </c:pt>
                <c:pt idx="133">
                  <c:v>96.293451187720407</c:v>
                </c:pt>
                <c:pt idx="134">
                  <c:v>96.302405174535622</c:v>
                </c:pt>
                <c:pt idx="135">
                  <c:v>96.311196881004619</c:v>
                </c:pt>
                <c:pt idx="136">
                  <c:v>96.319829834868671</c:v>
                </c:pt>
                <c:pt idx="137">
                  <c:v>96.328307462413775</c:v>
                </c:pt>
                <c:pt idx="138">
                  <c:v>96.33663309209166</c:v>
                </c:pt>
                <c:pt idx="139">
                  <c:v>96.344809957987081</c:v>
                </c:pt>
                <c:pt idx="140">
                  <c:v>96.352841203138581</c:v>
                </c:pt>
                <c:pt idx="141">
                  <c:v>96.360729882719937</c:v>
                </c:pt>
                <c:pt idx="142">
                  <c:v>96.368478967089359</c:v>
                </c:pt>
                <c:pt idx="143">
                  <c:v>96.376091344712307</c:v>
                </c:pt>
                <c:pt idx="144">
                  <c:v>96.383569824964425</c:v>
                </c:pt>
                <c:pt idx="145">
                  <c:v>96.390917140820164</c:v>
                </c:pt>
                <c:pt idx="146">
                  <c:v>96.398135951432295</c:v>
                </c:pt>
                <c:pt idx="147">
                  <c:v>96.405228844607862</c:v>
                </c:pt>
                <c:pt idx="148">
                  <c:v>96.412198339184883</c:v>
                </c:pt>
                <c:pt idx="149">
                  <c:v>96.419046887314892</c:v>
                </c:pt>
                <c:pt idx="150">
                  <c:v>96.425776876655306</c:v>
                </c:pt>
              </c:numCache>
            </c:numRef>
          </c:yVal>
          <c:smooth val="0"/>
          <c:extLst>
            <c:ext xmlns:c16="http://schemas.microsoft.com/office/drawing/2014/chart" uri="{C3380CC4-5D6E-409C-BE32-E72D297353CC}">
              <c16:uniqueId val="{00000000-D428-476F-9D9B-414A5D21B4D3}"/>
            </c:ext>
          </c:extLst>
        </c:ser>
        <c:dLbls>
          <c:showLegendKey val="0"/>
          <c:showVal val="0"/>
          <c:showCatName val="0"/>
          <c:showSerName val="0"/>
          <c:showPercent val="0"/>
          <c:showBubbleSize val="0"/>
        </c:dLbls>
        <c:axId val="161084544"/>
        <c:axId val="161086080"/>
      </c:scatterChart>
      <c:scatterChart>
        <c:scatterStyle val="smoothMarker"/>
        <c:varyColors val="0"/>
        <c:ser>
          <c:idx val="1"/>
          <c:order val="1"/>
          <c:tx>
            <c:v>MOSFET</c:v>
          </c:tx>
          <c:spPr>
            <a:ln>
              <a:solidFill>
                <a:schemeClr val="tx2">
                  <a:lumMod val="75000"/>
                </a:schemeClr>
              </a:solidFill>
              <a:prstDash val="dashDot"/>
            </a:ln>
          </c:spPr>
          <c:marker>
            <c:symbol val="none"/>
          </c:marker>
          <c:xVal>
            <c:numRef>
              <c:f>Eff_vs_IOUT!$S$7:$S$157</c:f>
              <c:numCache>
                <c:formatCode>General</c:formatCode>
                <c:ptCount val="151"/>
                <c:pt idx="0">
                  <c:v>0</c:v>
                </c:pt>
                <c:pt idx="1">
                  <c:v>3.3333333333333335E-3</c:v>
                </c:pt>
                <c:pt idx="2">
                  <c:v>6.6666666666666671E-3</c:v>
                </c:pt>
                <c:pt idx="3">
                  <c:v>0.01</c:v>
                </c:pt>
                <c:pt idx="4">
                  <c:v>1.3333333333333334E-2</c:v>
                </c:pt>
                <c:pt idx="5">
                  <c:v>1.6666666666666666E-2</c:v>
                </c:pt>
                <c:pt idx="6">
                  <c:v>0.02</c:v>
                </c:pt>
                <c:pt idx="7">
                  <c:v>2.3333333333333334E-2</c:v>
                </c:pt>
                <c:pt idx="8">
                  <c:v>2.6666666666666668E-2</c:v>
                </c:pt>
                <c:pt idx="9">
                  <c:v>3.0000000000000002E-2</c:v>
                </c:pt>
                <c:pt idx="10">
                  <c:v>3.3333333333333333E-2</c:v>
                </c:pt>
                <c:pt idx="11">
                  <c:v>3.6666666666666667E-2</c:v>
                </c:pt>
                <c:pt idx="12">
                  <c:v>0.04</c:v>
                </c:pt>
                <c:pt idx="13">
                  <c:v>4.3333333333333335E-2</c:v>
                </c:pt>
                <c:pt idx="14">
                  <c:v>4.6666666666666669E-2</c:v>
                </c:pt>
                <c:pt idx="15">
                  <c:v>0.05</c:v>
                </c:pt>
                <c:pt idx="16">
                  <c:v>5.3333333333333337E-2</c:v>
                </c:pt>
                <c:pt idx="17">
                  <c:v>5.6666666666666671E-2</c:v>
                </c:pt>
                <c:pt idx="18">
                  <c:v>6.0000000000000005E-2</c:v>
                </c:pt>
                <c:pt idx="19">
                  <c:v>6.3333333333333339E-2</c:v>
                </c:pt>
                <c:pt idx="20">
                  <c:v>6.6666666666666666E-2</c:v>
                </c:pt>
                <c:pt idx="21">
                  <c:v>7.0000000000000007E-2</c:v>
                </c:pt>
                <c:pt idx="22">
                  <c:v>7.3333333333333334E-2</c:v>
                </c:pt>
                <c:pt idx="23">
                  <c:v>7.6666666666666675E-2</c:v>
                </c:pt>
                <c:pt idx="24">
                  <c:v>0.08</c:v>
                </c:pt>
                <c:pt idx="25">
                  <c:v>8.3333333333333343E-2</c:v>
                </c:pt>
                <c:pt idx="26">
                  <c:v>8.666666666666667E-2</c:v>
                </c:pt>
                <c:pt idx="27">
                  <c:v>9.0000000000000011E-2</c:v>
                </c:pt>
                <c:pt idx="28">
                  <c:v>9.3333333333333338E-2</c:v>
                </c:pt>
                <c:pt idx="29">
                  <c:v>9.6666666666666679E-2</c:v>
                </c:pt>
                <c:pt idx="30">
                  <c:v>0.1</c:v>
                </c:pt>
                <c:pt idx="31">
                  <c:v>0.10333333333333335</c:v>
                </c:pt>
                <c:pt idx="32">
                  <c:v>0.10666666666666667</c:v>
                </c:pt>
                <c:pt idx="33">
                  <c:v>0.11</c:v>
                </c:pt>
                <c:pt idx="34">
                  <c:v>0.11333333333333334</c:v>
                </c:pt>
                <c:pt idx="35">
                  <c:v>0.11666666666666667</c:v>
                </c:pt>
                <c:pt idx="36">
                  <c:v>0.12000000000000001</c:v>
                </c:pt>
                <c:pt idx="37">
                  <c:v>0.12333333333333334</c:v>
                </c:pt>
                <c:pt idx="38">
                  <c:v>0.12666666666666668</c:v>
                </c:pt>
                <c:pt idx="39">
                  <c:v>0.13</c:v>
                </c:pt>
                <c:pt idx="40">
                  <c:v>0.13333333333333333</c:v>
                </c:pt>
                <c:pt idx="41">
                  <c:v>0.13666666666666669</c:v>
                </c:pt>
                <c:pt idx="42">
                  <c:v>0.14000000000000001</c:v>
                </c:pt>
                <c:pt idx="43">
                  <c:v>0.14333333333333334</c:v>
                </c:pt>
                <c:pt idx="44">
                  <c:v>0.14666666666666667</c:v>
                </c:pt>
                <c:pt idx="45">
                  <c:v>0.15000000000000002</c:v>
                </c:pt>
                <c:pt idx="46">
                  <c:v>0.15333333333333335</c:v>
                </c:pt>
                <c:pt idx="47">
                  <c:v>0.15666666666666668</c:v>
                </c:pt>
                <c:pt idx="48">
                  <c:v>0.16</c:v>
                </c:pt>
                <c:pt idx="49">
                  <c:v>0.16333333333333333</c:v>
                </c:pt>
                <c:pt idx="50">
                  <c:v>0.16666666666666669</c:v>
                </c:pt>
                <c:pt idx="51">
                  <c:v>0.17</c:v>
                </c:pt>
                <c:pt idx="52">
                  <c:v>0.17333333333333334</c:v>
                </c:pt>
                <c:pt idx="53">
                  <c:v>0.17666666666666667</c:v>
                </c:pt>
                <c:pt idx="54">
                  <c:v>0.18000000000000002</c:v>
                </c:pt>
                <c:pt idx="55">
                  <c:v>0.18333333333333335</c:v>
                </c:pt>
                <c:pt idx="56">
                  <c:v>0.18666666666666668</c:v>
                </c:pt>
                <c:pt idx="57">
                  <c:v>0.19</c:v>
                </c:pt>
                <c:pt idx="58">
                  <c:v>0.19333333333333336</c:v>
                </c:pt>
                <c:pt idx="59">
                  <c:v>0.19666666666666668</c:v>
                </c:pt>
                <c:pt idx="60">
                  <c:v>0.2</c:v>
                </c:pt>
                <c:pt idx="61">
                  <c:v>0.20333333333333334</c:v>
                </c:pt>
                <c:pt idx="62">
                  <c:v>0.20666666666666669</c:v>
                </c:pt>
                <c:pt idx="63">
                  <c:v>0.21000000000000002</c:v>
                </c:pt>
                <c:pt idx="64">
                  <c:v>0.21333333333333335</c:v>
                </c:pt>
                <c:pt idx="65">
                  <c:v>0.21666666666666667</c:v>
                </c:pt>
                <c:pt idx="66">
                  <c:v>0.22</c:v>
                </c:pt>
                <c:pt idx="67">
                  <c:v>0.22333333333333336</c:v>
                </c:pt>
                <c:pt idx="68">
                  <c:v>0.22666666666666668</c:v>
                </c:pt>
                <c:pt idx="69">
                  <c:v>0.23</c:v>
                </c:pt>
                <c:pt idx="70">
                  <c:v>0.23333333333333334</c:v>
                </c:pt>
                <c:pt idx="71">
                  <c:v>0.23666666666666669</c:v>
                </c:pt>
                <c:pt idx="72">
                  <c:v>0.24000000000000002</c:v>
                </c:pt>
                <c:pt idx="73">
                  <c:v>0.24333333333333335</c:v>
                </c:pt>
                <c:pt idx="74">
                  <c:v>0.24666666666666667</c:v>
                </c:pt>
                <c:pt idx="75">
                  <c:v>0.25</c:v>
                </c:pt>
                <c:pt idx="76">
                  <c:v>0.25333333333333335</c:v>
                </c:pt>
                <c:pt idx="77">
                  <c:v>0.25666666666666671</c:v>
                </c:pt>
                <c:pt idx="78">
                  <c:v>0.26</c:v>
                </c:pt>
                <c:pt idx="79">
                  <c:v>0.26333333333333336</c:v>
                </c:pt>
                <c:pt idx="80">
                  <c:v>0.26666666666666666</c:v>
                </c:pt>
                <c:pt idx="81">
                  <c:v>0.27</c:v>
                </c:pt>
                <c:pt idx="82">
                  <c:v>0.27333333333333337</c:v>
                </c:pt>
                <c:pt idx="83">
                  <c:v>0.27666666666666667</c:v>
                </c:pt>
                <c:pt idx="84">
                  <c:v>0.28000000000000003</c:v>
                </c:pt>
                <c:pt idx="85">
                  <c:v>0.28333333333333333</c:v>
                </c:pt>
                <c:pt idx="86">
                  <c:v>0.28666666666666668</c:v>
                </c:pt>
                <c:pt idx="87">
                  <c:v>0.29000000000000004</c:v>
                </c:pt>
                <c:pt idx="88">
                  <c:v>0.29333333333333333</c:v>
                </c:pt>
                <c:pt idx="89">
                  <c:v>0.29666666666666669</c:v>
                </c:pt>
                <c:pt idx="90">
                  <c:v>0.30000000000000004</c:v>
                </c:pt>
                <c:pt idx="91">
                  <c:v>0.30333333333333334</c:v>
                </c:pt>
                <c:pt idx="92">
                  <c:v>0.3066666666666667</c:v>
                </c:pt>
                <c:pt idx="93">
                  <c:v>0.31</c:v>
                </c:pt>
                <c:pt idx="94">
                  <c:v>0.31333333333333335</c:v>
                </c:pt>
                <c:pt idx="95">
                  <c:v>0.31666666666666671</c:v>
                </c:pt>
                <c:pt idx="96">
                  <c:v>0.32</c:v>
                </c:pt>
                <c:pt idx="97">
                  <c:v>0.32333333333333336</c:v>
                </c:pt>
                <c:pt idx="98">
                  <c:v>0.32666666666666666</c:v>
                </c:pt>
                <c:pt idx="99">
                  <c:v>0.33</c:v>
                </c:pt>
                <c:pt idx="100">
                  <c:v>0.33333333333333337</c:v>
                </c:pt>
                <c:pt idx="101">
                  <c:v>0.33666666666666667</c:v>
                </c:pt>
                <c:pt idx="102">
                  <c:v>0.34</c:v>
                </c:pt>
                <c:pt idx="103">
                  <c:v>0.34333333333333338</c:v>
                </c:pt>
                <c:pt idx="104">
                  <c:v>0.34666666666666668</c:v>
                </c:pt>
                <c:pt idx="105">
                  <c:v>0.35000000000000003</c:v>
                </c:pt>
                <c:pt idx="106">
                  <c:v>0.35333333333333333</c:v>
                </c:pt>
                <c:pt idx="107">
                  <c:v>0.35666666666666669</c:v>
                </c:pt>
                <c:pt idx="108">
                  <c:v>0.36000000000000004</c:v>
                </c:pt>
                <c:pt idx="109">
                  <c:v>0.36333333333333334</c:v>
                </c:pt>
                <c:pt idx="110">
                  <c:v>0.3666666666666667</c:v>
                </c:pt>
                <c:pt idx="111">
                  <c:v>0.37000000000000005</c:v>
                </c:pt>
                <c:pt idx="112">
                  <c:v>0.37333333333333335</c:v>
                </c:pt>
                <c:pt idx="113">
                  <c:v>0.37666666666666671</c:v>
                </c:pt>
                <c:pt idx="114">
                  <c:v>0.38</c:v>
                </c:pt>
                <c:pt idx="115">
                  <c:v>0.38333333333333336</c:v>
                </c:pt>
                <c:pt idx="116">
                  <c:v>0.38666666666666671</c:v>
                </c:pt>
                <c:pt idx="117">
                  <c:v>0.39</c:v>
                </c:pt>
                <c:pt idx="118">
                  <c:v>0.39333333333333337</c:v>
                </c:pt>
                <c:pt idx="119">
                  <c:v>0.39666666666666667</c:v>
                </c:pt>
                <c:pt idx="120">
                  <c:v>0.4</c:v>
                </c:pt>
                <c:pt idx="121">
                  <c:v>0.40333333333333338</c:v>
                </c:pt>
                <c:pt idx="122">
                  <c:v>0.40666666666666668</c:v>
                </c:pt>
                <c:pt idx="123">
                  <c:v>0.41000000000000003</c:v>
                </c:pt>
                <c:pt idx="124">
                  <c:v>0.41333333333333339</c:v>
                </c:pt>
                <c:pt idx="125">
                  <c:v>0.41666666666666669</c:v>
                </c:pt>
                <c:pt idx="126">
                  <c:v>0.42000000000000004</c:v>
                </c:pt>
                <c:pt idx="127">
                  <c:v>0.42333333333333334</c:v>
                </c:pt>
                <c:pt idx="128">
                  <c:v>0.42666666666666669</c:v>
                </c:pt>
                <c:pt idx="129">
                  <c:v>0.43000000000000005</c:v>
                </c:pt>
                <c:pt idx="130">
                  <c:v>0.43333333333333335</c:v>
                </c:pt>
                <c:pt idx="131">
                  <c:v>0.4366666666666667</c:v>
                </c:pt>
                <c:pt idx="132">
                  <c:v>0.44</c:v>
                </c:pt>
                <c:pt idx="133">
                  <c:v>0.44333333333333336</c:v>
                </c:pt>
                <c:pt idx="134">
                  <c:v>0.44666666666666671</c:v>
                </c:pt>
                <c:pt idx="135">
                  <c:v>0.45</c:v>
                </c:pt>
                <c:pt idx="136">
                  <c:v>0.45333333333333337</c:v>
                </c:pt>
                <c:pt idx="137">
                  <c:v>0.45666666666666672</c:v>
                </c:pt>
                <c:pt idx="138">
                  <c:v>0.46</c:v>
                </c:pt>
                <c:pt idx="139">
                  <c:v>0.46333333333333337</c:v>
                </c:pt>
                <c:pt idx="140">
                  <c:v>0.46666666666666667</c:v>
                </c:pt>
                <c:pt idx="141">
                  <c:v>0.47000000000000003</c:v>
                </c:pt>
                <c:pt idx="142">
                  <c:v>0.47333333333333338</c:v>
                </c:pt>
                <c:pt idx="143">
                  <c:v>0.47666666666666668</c:v>
                </c:pt>
                <c:pt idx="144">
                  <c:v>0.48000000000000004</c:v>
                </c:pt>
                <c:pt idx="145">
                  <c:v>0.48333333333333334</c:v>
                </c:pt>
                <c:pt idx="146">
                  <c:v>0.48666666666666669</c:v>
                </c:pt>
                <c:pt idx="147">
                  <c:v>0.49000000000000005</c:v>
                </c:pt>
                <c:pt idx="148">
                  <c:v>0.49333333333333335</c:v>
                </c:pt>
                <c:pt idx="149">
                  <c:v>0.4966666666666667</c:v>
                </c:pt>
                <c:pt idx="150">
                  <c:v>0.5</c:v>
                </c:pt>
              </c:numCache>
            </c:numRef>
          </c:xVal>
          <c:yVal>
            <c:numRef>
              <c:f>Eff_vs_IOUT!$AI$7:$AI$157</c:f>
              <c:numCache>
                <c:formatCode>General</c:formatCode>
                <c:ptCount val="151"/>
                <c:pt idx="0">
                  <c:v>0</c:v>
                </c:pt>
                <c:pt idx="1">
                  <c:v>2.0065906891543039E-3</c:v>
                </c:pt>
                <c:pt idx="2">
                  <c:v>4.0132644840886293E-3</c:v>
                </c:pt>
                <c:pt idx="3">
                  <c:v>6.0199923800947465E-3</c:v>
                </c:pt>
                <c:pt idx="4">
                  <c:v>8.0267640268196962E-3</c:v>
                </c:pt>
                <c:pt idx="5">
                  <c:v>1.0033573442331035E-2</c:v>
                </c:pt>
                <c:pt idx="6">
                  <c:v>1.2040416590489695E-2</c:v>
                </c:pt>
                <c:pt idx="7">
                  <c:v>1.4047290508263319E-2</c:v>
                </c:pt>
                <c:pt idx="8">
                  <c:v>1.6054192899879569E-2</c:v>
                </c:pt>
                <c:pt idx="9">
                  <c:v>1.8061121918299904E-2</c:v>
                </c:pt>
                <c:pt idx="10">
                  <c:v>2.006807603552933E-2</c:v>
                </c:pt>
                <c:pt idx="11">
                  <c:v>2.2075053960068761E-2</c:v>
                </c:pt>
                <c:pt idx="12">
                  <c:v>2.408205458151377E-2</c:v>
                </c:pt>
                <c:pt idx="13">
                  <c:v>2.608907693179156E-2</c:v>
                </c:pt>
                <c:pt idx="14">
                  <c:v>2.8096120157111791E-2</c:v>
                </c:pt>
                <c:pt idx="15">
                  <c:v>3.0103183497098528E-2</c:v>
                </c:pt>
                <c:pt idx="16">
                  <c:v>3.2110266268898638E-2</c:v>
                </c:pt>
                <c:pt idx="17">
                  <c:v>3.4117367854836905E-2</c:v>
                </c:pt>
                <c:pt idx="18">
                  <c:v>3.6124487692660405E-2</c:v>
                </c:pt>
                <c:pt idx="19">
                  <c:v>3.8131625267712931E-2</c:v>
                </c:pt>
                <c:pt idx="20">
                  <c:v>4.0138780106574609E-2</c:v>
                </c:pt>
                <c:pt idx="21">
                  <c:v>4.2145951771831607E-2</c:v>
                </c:pt>
                <c:pt idx="22">
                  <c:v>4.4153139857730193E-2</c:v>
                </c:pt>
                <c:pt idx="23">
                  <c:v>4.6160343986531675E-2</c:v>
                </c:pt>
                <c:pt idx="24">
                  <c:v>4.8167563805429164E-2</c:v>
                </c:pt>
                <c:pt idx="25">
                  <c:v>5.0174798983919647E-2</c:v>
                </c:pt>
                <c:pt idx="26">
                  <c:v>5.2182049211548162E-2</c:v>
                </c:pt>
                <c:pt idx="27">
                  <c:v>5.4189314195959244E-2</c:v>
                </c:pt>
                <c:pt idx="28">
                  <c:v>5.6196593661203428E-2</c:v>
                </c:pt>
                <c:pt idx="29">
                  <c:v>5.8203887346257858E-2</c:v>
                </c:pt>
                <c:pt idx="30">
                  <c:v>6.0211195003727042E-2</c:v>
                </c:pt>
                <c:pt idx="31">
                  <c:v>6.221851639869682E-2</c:v>
                </c:pt>
                <c:pt idx="32">
                  <c:v>6.4225851307718698E-2</c:v>
                </c:pt>
                <c:pt idx="33">
                  <c:v>6.6233199517906391E-2</c:v>
                </c:pt>
                <c:pt idx="34">
                  <c:v>6.8240560826129018E-2</c:v>
                </c:pt>
                <c:pt idx="35">
                  <c:v>7.0247935038287954E-2</c:v>
                </c:pt>
                <c:pt idx="36">
                  <c:v>7.2255321968666616E-2</c:v>
                </c:pt>
                <c:pt idx="37">
                  <c:v>7.4262721439343968E-2</c:v>
                </c:pt>
                <c:pt idx="38">
                  <c:v>7.6271246761708614E-2</c:v>
                </c:pt>
                <c:pt idx="39">
                  <c:v>7.8278740994863288E-2</c:v>
                </c:pt>
                <c:pt idx="40">
                  <c:v>8.0286261302343967E-2</c:v>
                </c:pt>
                <c:pt idx="41">
                  <c:v>8.2293807684150636E-2</c:v>
                </c:pt>
                <c:pt idx="42">
                  <c:v>8.4301380140283308E-2</c:v>
                </c:pt>
                <c:pt idx="43">
                  <c:v>8.6308978670741998E-2</c:v>
                </c:pt>
                <c:pt idx="44">
                  <c:v>8.8316603275526664E-2</c:v>
                </c:pt>
                <c:pt idx="45">
                  <c:v>9.0324253954637362E-2</c:v>
                </c:pt>
                <c:pt idx="46">
                  <c:v>9.2331930708074036E-2</c:v>
                </c:pt>
                <c:pt idx="47">
                  <c:v>9.4339633535836728E-2</c:v>
                </c:pt>
                <c:pt idx="48">
                  <c:v>9.634736243792541E-2</c:v>
                </c:pt>
                <c:pt idx="49">
                  <c:v>9.8355117414340082E-2</c:v>
                </c:pt>
                <c:pt idx="50">
                  <c:v>0.10036289846508079</c:v>
                </c:pt>
                <c:pt idx="51">
                  <c:v>0.10237070559014745</c:v>
                </c:pt>
                <c:pt idx="52">
                  <c:v>0.10437853878954011</c:v>
                </c:pt>
                <c:pt idx="53">
                  <c:v>0.10638639806325881</c:v>
                </c:pt>
                <c:pt idx="54">
                  <c:v>0.10839428341130347</c:v>
                </c:pt>
                <c:pt idx="55">
                  <c:v>0.11040219483367415</c:v>
                </c:pt>
                <c:pt idx="56">
                  <c:v>0.11241013233037082</c:v>
                </c:pt>
                <c:pt idx="57">
                  <c:v>0.11441809590139349</c:v>
                </c:pt>
                <c:pt idx="58">
                  <c:v>0.11642608554674222</c:v>
                </c:pt>
                <c:pt idx="59">
                  <c:v>0.11843410126641687</c:v>
                </c:pt>
                <c:pt idx="60">
                  <c:v>0.12044214306041755</c:v>
                </c:pt>
                <c:pt idx="61">
                  <c:v>0.12245021092874422</c:v>
                </c:pt>
                <c:pt idx="62">
                  <c:v>0.12445830487139692</c:v>
                </c:pt>
                <c:pt idx="63">
                  <c:v>0.12646642488837559</c:v>
                </c:pt>
                <c:pt idx="64">
                  <c:v>0.12847457097968026</c:v>
                </c:pt>
                <c:pt idx="65">
                  <c:v>0.13048274314531097</c:v>
                </c:pt>
                <c:pt idx="66">
                  <c:v>0.13249094138526762</c:v>
                </c:pt>
                <c:pt idx="67">
                  <c:v>0.13449916569955028</c:v>
                </c:pt>
                <c:pt idx="68">
                  <c:v>0.13650741608815897</c:v>
                </c:pt>
                <c:pt idx="69">
                  <c:v>0.13851569255109364</c:v>
                </c:pt>
                <c:pt idx="70">
                  <c:v>0.14052399508835431</c:v>
                </c:pt>
                <c:pt idx="71">
                  <c:v>0.14253232369994101</c:v>
                </c:pt>
                <c:pt idx="72">
                  <c:v>0.14454067838585372</c:v>
                </c:pt>
                <c:pt idx="73">
                  <c:v>0.1465490591460924</c:v>
                </c:pt>
                <c:pt idx="74">
                  <c:v>0.14855746598065706</c:v>
                </c:pt>
                <c:pt idx="75">
                  <c:v>0.15056589888954772</c:v>
                </c:pt>
                <c:pt idx="76">
                  <c:v>0.15257435787276444</c:v>
                </c:pt>
                <c:pt idx="77">
                  <c:v>0.15458284293030711</c:v>
                </c:pt>
                <c:pt idx="78">
                  <c:v>0.15659135406217578</c:v>
                </c:pt>
                <c:pt idx="79">
                  <c:v>0.15859989126837046</c:v>
                </c:pt>
                <c:pt idx="80">
                  <c:v>0.16060845454889111</c:v>
                </c:pt>
                <c:pt idx="81">
                  <c:v>0.16261704390373782</c:v>
                </c:pt>
                <c:pt idx="82">
                  <c:v>0.16462565933291046</c:v>
                </c:pt>
                <c:pt idx="83">
                  <c:v>0.16663430083640915</c:v>
                </c:pt>
                <c:pt idx="84">
                  <c:v>0.16864296841423382</c:v>
                </c:pt>
                <c:pt idx="85">
                  <c:v>0.17065166206638449</c:v>
                </c:pt>
                <c:pt idx="86">
                  <c:v>0.1726603817928612</c:v>
                </c:pt>
                <c:pt idx="87">
                  <c:v>0.17466912759366385</c:v>
                </c:pt>
                <c:pt idx="88">
                  <c:v>0.1766778994687925</c:v>
                </c:pt>
                <c:pt idx="89">
                  <c:v>0.17868669741824722</c:v>
                </c:pt>
                <c:pt idx="90">
                  <c:v>0.18069552144202791</c:v>
                </c:pt>
                <c:pt idx="91">
                  <c:v>0.18270437154013452</c:v>
                </c:pt>
                <c:pt idx="92">
                  <c:v>0.18471324771256725</c:v>
                </c:pt>
                <c:pt idx="93">
                  <c:v>0.1867221499593259</c:v>
                </c:pt>
                <c:pt idx="94">
                  <c:v>0.18873107828041061</c:v>
                </c:pt>
                <c:pt idx="95">
                  <c:v>0.19074003267582129</c:v>
                </c:pt>
                <c:pt idx="96">
                  <c:v>0.19274901314555795</c:v>
                </c:pt>
                <c:pt idx="97">
                  <c:v>0.19475801968962062</c:v>
                </c:pt>
                <c:pt idx="98">
                  <c:v>0.19676705230800931</c:v>
                </c:pt>
                <c:pt idx="99">
                  <c:v>0.19877611100072395</c:v>
                </c:pt>
                <c:pt idx="100">
                  <c:v>0.20078519576776468</c:v>
                </c:pt>
                <c:pt idx="101">
                  <c:v>0.20279430660913134</c:v>
                </c:pt>
                <c:pt idx="102">
                  <c:v>0.20480344352482405</c:v>
                </c:pt>
                <c:pt idx="103">
                  <c:v>0.20681260651484268</c:v>
                </c:pt>
                <c:pt idx="104">
                  <c:v>0.20882179557918731</c:v>
                </c:pt>
                <c:pt idx="105">
                  <c:v>0.21083101071785804</c:v>
                </c:pt>
                <c:pt idx="106">
                  <c:v>0.21284025193085471</c:v>
                </c:pt>
                <c:pt idx="107">
                  <c:v>0.21484951921817735</c:v>
                </c:pt>
                <c:pt idx="108">
                  <c:v>0.21685881257982603</c:v>
                </c:pt>
                <c:pt idx="109">
                  <c:v>0.21886813201580071</c:v>
                </c:pt>
                <c:pt idx="110">
                  <c:v>0.2208774775261014</c:v>
                </c:pt>
                <c:pt idx="111">
                  <c:v>0.22288684911072812</c:v>
                </c:pt>
                <c:pt idx="112">
                  <c:v>0.22489624676968073</c:v>
                </c:pt>
                <c:pt idx="113">
                  <c:v>0.22690567050295946</c:v>
                </c:pt>
                <c:pt idx="114">
                  <c:v>0.22891512031056405</c:v>
                </c:pt>
                <c:pt idx="115">
                  <c:v>0.23092459619249484</c:v>
                </c:pt>
                <c:pt idx="116">
                  <c:v>0.23293409814875152</c:v>
                </c:pt>
                <c:pt idx="117">
                  <c:v>0.23494362617933415</c:v>
                </c:pt>
                <c:pt idx="118">
                  <c:v>0.23695318028424281</c:v>
                </c:pt>
                <c:pt idx="119">
                  <c:v>0.2389627604634775</c:v>
                </c:pt>
                <c:pt idx="120">
                  <c:v>0.24097236671703814</c:v>
                </c:pt>
                <c:pt idx="121">
                  <c:v>0.24298199904492485</c:v>
                </c:pt>
                <c:pt idx="122">
                  <c:v>0.2449916574471375</c:v>
                </c:pt>
                <c:pt idx="123">
                  <c:v>0.24700134192367615</c:v>
                </c:pt>
                <c:pt idx="124">
                  <c:v>0.24901105247454086</c:v>
                </c:pt>
                <c:pt idx="125">
                  <c:v>0.25102078909973152</c:v>
                </c:pt>
                <c:pt idx="126">
                  <c:v>0.25303055179924822</c:v>
                </c:pt>
                <c:pt idx="127">
                  <c:v>0.25504034057309083</c:v>
                </c:pt>
                <c:pt idx="128">
                  <c:v>0.25705015542125959</c:v>
                </c:pt>
                <c:pt idx="129">
                  <c:v>0.25905999634375426</c:v>
                </c:pt>
                <c:pt idx="130">
                  <c:v>0.26106986334057491</c:v>
                </c:pt>
                <c:pt idx="131">
                  <c:v>0.2630797564117216</c:v>
                </c:pt>
                <c:pt idx="132">
                  <c:v>0.26508967555719426</c:v>
                </c:pt>
                <c:pt idx="133">
                  <c:v>0.26709962077699295</c:v>
                </c:pt>
                <c:pt idx="134">
                  <c:v>0.26910959207111756</c:v>
                </c:pt>
                <c:pt idx="135">
                  <c:v>0.27111958943956826</c:v>
                </c:pt>
                <c:pt idx="136">
                  <c:v>0.27312961288234494</c:v>
                </c:pt>
                <c:pt idx="137">
                  <c:v>0.27513966239944765</c:v>
                </c:pt>
                <c:pt idx="138">
                  <c:v>0.27714973799087622</c:v>
                </c:pt>
                <c:pt idx="139">
                  <c:v>0.27915983965663099</c:v>
                </c:pt>
                <c:pt idx="140">
                  <c:v>0.28116996739671157</c:v>
                </c:pt>
                <c:pt idx="141">
                  <c:v>0.2831801212111183</c:v>
                </c:pt>
                <c:pt idx="142">
                  <c:v>0.28519030109985094</c:v>
                </c:pt>
                <c:pt idx="143">
                  <c:v>0.28720050706290967</c:v>
                </c:pt>
                <c:pt idx="144">
                  <c:v>0.28921073910029438</c:v>
                </c:pt>
                <c:pt idx="145">
                  <c:v>0.29122099721200501</c:v>
                </c:pt>
                <c:pt idx="146">
                  <c:v>0.29323128139804172</c:v>
                </c:pt>
                <c:pt idx="147">
                  <c:v>0.29524159165840436</c:v>
                </c:pt>
                <c:pt idx="148">
                  <c:v>0.29725192799309302</c:v>
                </c:pt>
                <c:pt idx="149">
                  <c:v>0.29926229040210772</c:v>
                </c:pt>
                <c:pt idx="150">
                  <c:v>0.30127267888544834</c:v>
                </c:pt>
              </c:numCache>
            </c:numRef>
          </c:yVal>
          <c:smooth val="1"/>
          <c:extLst>
            <c:ext xmlns:c16="http://schemas.microsoft.com/office/drawing/2014/chart" uri="{C3380CC4-5D6E-409C-BE32-E72D297353CC}">
              <c16:uniqueId val="{00000001-D428-476F-9D9B-414A5D21B4D3}"/>
            </c:ext>
          </c:extLst>
        </c:ser>
        <c:ser>
          <c:idx val="2"/>
          <c:order val="2"/>
          <c:tx>
            <c:v>Diode</c:v>
          </c:tx>
          <c:spPr>
            <a:ln>
              <a:solidFill>
                <a:schemeClr val="bg2">
                  <a:lumMod val="50000"/>
                </a:schemeClr>
              </a:solidFill>
              <a:prstDash val="sysDash"/>
            </a:ln>
          </c:spPr>
          <c:marker>
            <c:symbol val="none"/>
          </c:marker>
          <c:xVal>
            <c:numRef>
              <c:f>Eff_vs_IOUT!$S$7:$S$157</c:f>
              <c:numCache>
                <c:formatCode>General</c:formatCode>
                <c:ptCount val="151"/>
                <c:pt idx="0">
                  <c:v>0</c:v>
                </c:pt>
                <c:pt idx="1">
                  <c:v>3.3333333333333335E-3</c:v>
                </c:pt>
                <c:pt idx="2">
                  <c:v>6.6666666666666671E-3</c:v>
                </c:pt>
                <c:pt idx="3">
                  <c:v>0.01</c:v>
                </c:pt>
                <c:pt idx="4">
                  <c:v>1.3333333333333334E-2</c:v>
                </c:pt>
                <c:pt idx="5">
                  <c:v>1.6666666666666666E-2</c:v>
                </c:pt>
                <c:pt idx="6">
                  <c:v>0.02</c:v>
                </c:pt>
                <c:pt idx="7">
                  <c:v>2.3333333333333334E-2</c:v>
                </c:pt>
                <c:pt idx="8">
                  <c:v>2.6666666666666668E-2</c:v>
                </c:pt>
                <c:pt idx="9">
                  <c:v>3.0000000000000002E-2</c:v>
                </c:pt>
                <c:pt idx="10">
                  <c:v>3.3333333333333333E-2</c:v>
                </c:pt>
                <c:pt idx="11">
                  <c:v>3.6666666666666667E-2</c:v>
                </c:pt>
                <c:pt idx="12">
                  <c:v>0.04</c:v>
                </c:pt>
                <c:pt idx="13">
                  <c:v>4.3333333333333335E-2</c:v>
                </c:pt>
                <c:pt idx="14">
                  <c:v>4.6666666666666669E-2</c:v>
                </c:pt>
                <c:pt idx="15">
                  <c:v>0.05</c:v>
                </c:pt>
                <c:pt idx="16">
                  <c:v>5.3333333333333337E-2</c:v>
                </c:pt>
                <c:pt idx="17">
                  <c:v>5.6666666666666671E-2</c:v>
                </c:pt>
                <c:pt idx="18">
                  <c:v>6.0000000000000005E-2</c:v>
                </c:pt>
                <c:pt idx="19">
                  <c:v>6.3333333333333339E-2</c:v>
                </c:pt>
                <c:pt idx="20">
                  <c:v>6.6666666666666666E-2</c:v>
                </c:pt>
                <c:pt idx="21">
                  <c:v>7.0000000000000007E-2</c:v>
                </c:pt>
                <c:pt idx="22">
                  <c:v>7.3333333333333334E-2</c:v>
                </c:pt>
                <c:pt idx="23">
                  <c:v>7.6666666666666675E-2</c:v>
                </c:pt>
                <c:pt idx="24">
                  <c:v>0.08</c:v>
                </c:pt>
                <c:pt idx="25">
                  <c:v>8.3333333333333343E-2</c:v>
                </c:pt>
                <c:pt idx="26">
                  <c:v>8.666666666666667E-2</c:v>
                </c:pt>
                <c:pt idx="27">
                  <c:v>9.0000000000000011E-2</c:v>
                </c:pt>
                <c:pt idx="28">
                  <c:v>9.3333333333333338E-2</c:v>
                </c:pt>
                <c:pt idx="29">
                  <c:v>9.6666666666666679E-2</c:v>
                </c:pt>
                <c:pt idx="30">
                  <c:v>0.1</c:v>
                </c:pt>
                <c:pt idx="31">
                  <c:v>0.10333333333333335</c:v>
                </c:pt>
                <c:pt idx="32">
                  <c:v>0.10666666666666667</c:v>
                </c:pt>
                <c:pt idx="33">
                  <c:v>0.11</c:v>
                </c:pt>
                <c:pt idx="34">
                  <c:v>0.11333333333333334</c:v>
                </c:pt>
                <c:pt idx="35">
                  <c:v>0.11666666666666667</c:v>
                </c:pt>
                <c:pt idx="36">
                  <c:v>0.12000000000000001</c:v>
                </c:pt>
                <c:pt idx="37">
                  <c:v>0.12333333333333334</c:v>
                </c:pt>
                <c:pt idx="38">
                  <c:v>0.12666666666666668</c:v>
                </c:pt>
                <c:pt idx="39">
                  <c:v>0.13</c:v>
                </c:pt>
                <c:pt idx="40">
                  <c:v>0.13333333333333333</c:v>
                </c:pt>
                <c:pt idx="41">
                  <c:v>0.13666666666666669</c:v>
                </c:pt>
                <c:pt idx="42">
                  <c:v>0.14000000000000001</c:v>
                </c:pt>
                <c:pt idx="43">
                  <c:v>0.14333333333333334</c:v>
                </c:pt>
                <c:pt idx="44">
                  <c:v>0.14666666666666667</c:v>
                </c:pt>
                <c:pt idx="45">
                  <c:v>0.15000000000000002</c:v>
                </c:pt>
                <c:pt idx="46">
                  <c:v>0.15333333333333335</c:v>
                </c:pt>
                <c:pt idx="47">
                  <c:v>0.15666666666666668</c:v>
                </c:pt>
                <c:pt idx="48">
                  <c:v>0.16</c:v>
                </c:pt>
                <c:pt idx="49">
                  <c:v>0.16333333333333333</c:v>
                </c:pt>
                <c:pt idx="50">
                  <c:v>0.16666666666666669</c:v>
                </c:pt>
                <c:pt idx="51">
                  <c:v>0.17</c:v>
                </c:pt>
                <c:pt idx="52">
                  <c:v>0.17333333333333334</c:v>
                </c:pt>
                <c:pt idx="53">
                  <c:v>0.17666666666666667</c:v>
                </c:pt>
                <c:pt idx="54">
                  <c:v>0.18000000000000002</c:v>
                </c:pt>
                <c:pt idx="55">
                  <c:v>0.18333333333333335</c:v>
                </c:pt>
                <c:pt idx="56">
                  <c:v>0.18666666666666668</c:v>
                </c:pt>
                <c:pt idx="57">
                  <c:v>0.19</c:v>
                </c:pt>
                <c:pt idx="58">
                  <c:v>0.19333333333333336</c:v>
                </c:pt>
                <c:pt idx="59">
                  <c:v>0.19666666666666668</c:v>
                </c:pt>
                <c:pt idx="60">
                  <c:v>0.2</c:v>
                </c:pt>
                <c:pt idx="61">
                  <c:v>0.20333333333333334</c:v>
                </c:pt>
                <c:pt idx="62">
                  <c:v>0.20666666666666669</c:v>
                </c:pt>
                <c:pt idx="63">
                  <c:v>0.21000000000000002</c:v>
                </c:pt>
                <c:pt idx="64">
                  <c:v>0.21333333333333335</c:v>
                </c:pt>
                <c:pt idx="65">
                  <c:v>0.21666666666666667</c:v>
                </c:pt>
                <c:pt idx="66">
                  <c:v>0.22</c:v>
                </c:pt>
                <c:pt idx="67">
                  <c:v>0.22333333333333336</c:v>
                </c:pt>
                <c:pt idx="68">
                  <c:v>0.22666666666666668</c:v>
                </c:pt>
                <c:pt idx="69">
                  <c:v>0.23</c:v>
                </c:pt>
                <c:pt idx="70">
                  <c:v>0.23333333333333334</c:v>
                </c:pt>
                <c:pt idx="71">
                  <c:v>0.23666666666666669</c:v>
                </c:pt>
                <c:pt idx="72">
                  <c:v>0.24000000000000002</c:v>
                </c:pt>
                <c:pt idx="73">
                  <c:v>0.24333333333333335</c:v>
                </c:pt>
                <c:pt idx="74">
                  <c:v>0.24666666666666667</c:v>
                </c:pt>
                <c:pt idx="75">
                  <c:v>0.25</c:v>
                </c:pt>
                <c:pt idx="76">
                  <c:v>0.25333333333333335</c:v>
                </c:pt>
                <c:pt idx="77">
                  <c:v>0.25666666666666671</c:v>
                </c:pt>
                <c:pt idx="78">
                  <c:v>0.26</c:v>
                </c:pt>
                <c:pt idx="79">
                  <c:v>0.26333333333333336</c:v>
                </c:pt>
                <c:pt idx="80">
                  <c:v>0.26666666666666666</c:v>
                </c:pt>
                <c:pt idx="81">
                  <c:v>0.27</c:v>
                </c:pt>
                <c:pt idx="82">
                  <c:v>0.27333333333333337</c:v>
                </c:pt>
                <c:pt idx="83">
                  <c:v>0.27666666666666667</c:v>
                </c:pt>
                <c:pt idx="84">
                  <c:v>0.28000000000000003</c:v>
                </c:pt>
                <c:pt idx="85">
                  <c:v>0.28333333333333333</c:v>
                </c:pt>
                <c:pt idx="86">
                  <c:v>0.28666666666666668</c:v>
                </c:pt>
                <c:pt idx="87">
                  <c:v>0.29000000000000004</c:v>
                </c:pt>
                <c:pt idx="88">
                  <c:v>0.29333333333333333</c:v>
                </c:pt>
                <c:pt idx="89">
                  <c:v>0.29666666666666669</c:v>
                </c:pt>
                <c:pt idx="90">
                  <c:v>0.30000000000000004</c:v>
                </c:pt>
                <c:pt idx="91">
                  <c:v>0.30333333333333334</c:v>
                </c:pt>
                <c:pt idx="92">
                  <c:v>0.3066666666666667</c:v>
                </c:pt>
                <c:pt idx="93">
                  <c:v>0.31</c:v>
                </c:pt>
                <c:pt idx="94">
                  <c:v>0.31333333333333335</c:v>
                </c:pt>
                <c:pt idx="95">
                  <c:v>0.31666666666666671</c:v>
                </c:pt>
                <c:pt idx="96">
                  <c:v>0.32</c:v>
                </c:pt>
                <c:pt idx="97">
                  <c:v>0.32333333333333336</c:v>
                </c:pt>
                <c:pt idx="98">
                  <c:v>0.32666666666666666</c:v>
                </c:pt>
                <c:pt idx="99">
                  <c:v>0.33</c:v>
                </c:pt>
                <c:pt idx="100">
                  <c:v>0.33333333333333337</c:v>
                </c:pt>
                <c:pt idx="101">
                  <c:v>0.33666666666666667</c:v>
                </c:pt>
                <c:pt idx="102">
                  <c:v>0.34</c:v>
                </c:pt>
                <c:pt idx="103">
                  <c:v>0.34333333333333338</c:v>
                </c:pt>
                <c:pt idx="104">
                  <c:v>0.34666666666666668</c:v>
                </c:pt>
                <c:pt idx="105">
                  <c:v>0.35000000000000003</c:v>
                </c:pt>
                <c:pt idx="106">
                  <c:v>0.35333333333333333</c:v>
                </c:pt>
                <c:pt idx="107">
                  <c:v>0.35666666666666669</c:v>
                </c:pt>
                <c:pt idx="108">
                  <c:v>0.36000000000000004</c:v>
                </c:pt>
                <c:pt idx="109">
                  <c:v>0.36333333333333334</c:v>
                </c:pt>
                <c:pt idx="110">
                  <c:v>0.3666666666666667</c:v>
                </c:pt>
                <c:pt idx="111">
                  <c:v>0.37000000000000005</c:v>
                </c:pt>
                <c:pt idx="112">
                  <c:v>0.37333333333333335</c:v>
                </c:pt>
                <c:pt idx="113">
                  <c:v>0.37666666666666671</c:v>
                </c:pt>
                <c:pt idx="114">
                  <c:v>0.38</c:v>
                </c:pt>
                <c:pt idx="115">
                  <c:v>0.38333333333333336</c:v>
                </c:pt>
                <c:pt idx="116">
                  <c:v>0.38666666666666671</c:v>
                </c:pt>
                <c:pt idx="117">
                  <c:v>0.39</c:v>
                </c:pt>
                <c:pt idx="118">
                  <c:v>0.39333333333333337</c:v>
                </c:pt>
                <c:pt idx="119">
                  <c:v>0.39666666666666667</c:v>
                </c:pt>
                <c:pt idx="120">
                  <c:v>0.4</c:v>
                </c:pt>
                <c:pt idx="121">
                  <c:v>0.40333333333333338</c:v>
                </c:pt>
                <c:pt idx="122">
                  <c:v>0.40666666666666668</c:v>
                </c:pt>
                <c:pt idx="123">
                  <c:v>0.41000000000000003</c:v>
                </c:pt>
                <c:pt idx="124">
                  <c:v>0.41333333333333339</c:v>
                </c:pt>
                <c:pt idx="125">
                  <c:v>0.41666666666666669</c:v>
                </c:pt>
                <c:pt idx="126">
                  <c:v>0.42000000000000004</c:v>
                </c:pt>
                <c:pt idx="127">
                  <c:v>0.42333333333333334</c:v>
                </c:pt>
                <c:pt idx="128">
                  <c:v>0.42666666666666669</c:v>
                </c:pt>
                <c:pt idx="129">
                  <c:v>0.43000000000000005</c:v>
                </c:pt>
                <c:pt idx="130">
                  <c:v>0.43333333333333335</c:v>
                </c:pt>
                <c:pt idx="131">
                  <c:v>0.4366666666666667</c:v>
                </c:pt>
                <c:pt idx="132">
                  <c:v>0.44</c:v>
                </c:pt>
                <c:pt idx="133">
                  <c:v>0.44333333333333336</c:v>
                </c:pt>
                <c:pt idx="134">
                  <c:v>0.44666666666666671</c:v>
                </c:pt>
                <c:pt idx="135">
                  <c:v>0.45</c:v>
                </c:pt>
                <c:pt idx="136">
                  <c:v>0.45333333333333337</c:v>
                </c:pt>
                <c:pt idx="137">
                  <c:v>0.45666666666666672</c:v>
                </c:pt>
                <c:pt idx="138">
                  <c:v>0.46</c:v>
                </c:pt>
                <c:pt idx="139">
                  <c:v>0.46333333333333337</c:v>
                </c:pt>
                <c:pt idx="140">
                  <c:v>0.46666666666666667</c:v>
                </c:pt>
                <c:pt idx="141">
                  <c:v>0.47000000000000003</c:v>
                </c:pt>
                <c:pt idx="142">
                  <c:v>0.47333333333333338</c:v>
                </c:pt>
                <c:pt idx="143">
                  <c:v>0.47666666666666668</c:v>
                </c:pt>
                <c:pt idx="144">
                  <c:v>0.48000000000000004</c:v>
                </c:pt>
                <c:pt idx="145">
                  <c:v>0.48333333333333334</c:v>
                </c:pt>
                <c:pt idx="146">
                  <c:v>0.48666666666666669</c:v>
                </c:pt>
                <c:pt idx="147">
                  <c:v>0.49000000000000005</c:v>
                </c:pt>
                <c:pt idx="148">
                  <c:v>0.49333333333333335</c:v>
                </c:pt>
                <c:pt idx="149">
                  <c:v>0.4966666666666667</c:v>
                </c:pt>
                <c:pt idx="150">
                  <c:v>0.5</c:v>
                </c:pt>
              </c:numCache>
            </c:numRef>
          </c:xVal>
          <c:yVal>
            <c:numRef>
              <c:f>Eff_vs_IOUT!$AN$7:$AN$157</c:f>
              <c:numCache>
                <c:formatCode>General</c:formatCode>
                <c:ptCount val="151"/>
                <c:pt idx="0">
                  <c:v>0.2423025</c:v>
                </c:pt>
                <c:pt idx="1">
                  <c:v>0.24380250000000001</c:v>
                </c:pt>
                <c:pt idx="2">
                  <c:v>0.24530250000000001</c:v>
                </c:pt>
                <c:pt idx="3">
                  <c:v>0.24680250000000001</c:v>
                </c:pt>
                <c:pt idx="4">
                  <c:v>0.24830250000000001</c:v>
                </c:pt>
                <c:pt idx="5">
                  <c:v>0.24980250000000001</c:v>
                </c:pt>
                <c:pt idx="6">
                  <c:v>0.25130249999999998</c:v>
                </c:pt>
                <c:pt idx="7">
                  <c:v>0.25280249999999999</c:v>
                </c:pt>
                <c:pt idx="8">
                  <c:v>0.25430249999999999</c:v>
                </c:pt>
                <c:pt idx="9">
                  <c:v>0.25580249999999999</c:v>
                </c:pt>
                <c:pt idx="10">
                  <c:v>0.25730249999999999</c:v>
                </c:pt>
                <c:pt idx="11">
                  <c:v>0.25880249999999999</c:v>
                </c:pt>
                <c:pt idx="12">
                  <c:v>0.26030249999999999</c:v>
                </c:pt>
                <c:pt idx="13">
                  <c:v>0.26180249999999999</c:v>
                </c:pt>
                <c:pt idx="14">
                  <c:v>0.26330249999999999</c:v>
                </c:pt>
                <c:pt idx="15">
                  <c:v>0.2648025</c:v>
                </c:pt>
                <c:pt idx="16">
                  <c:v>0.2663025</c:v>
                </c:pt>
                <c:pt idx="17">
                  <c:v>0.2678025</c:v>
                </c:pt>
                <c:pt idx="18">
                  <c:v>0.2693025</c:v>
                </c:pt>
                <c:pt idx="19">
                  <c:v>0.2708025</c:v>
                </c:pt>
                <c:pt idx="20">
                  <c:v>0.2723025</c:v>
                </c:pt>
                <c:pt idx="21">
                  <c:v>0.2738025</c:v>
                </c:pt>
                <c:pt idx="22">
                  <c:v>0.27530250000000001</c:v>
                </c:pt>
                <c:pt idx="23">
                  <c:v>0.27680250000000001</c:v>
                </c:pt>
                <c:pt idx="24">
                  <c:v>0.27830250000000001</c:v>
                </c:pt>
                <c:pt idx="25">
                  <c:v>0.27980250000000001</c:v>
                </c:pt>
                <c:pt idx="26">
                  <c:v>0.28130250000000001</c:v>
                </c:pt>
                <c:pt idx="27">
                  <c:v>0.28280250000000001</c:v>
                </c:pt>
                <c:pt idx="28">
                  <c:v>0.28430250000000001</c:v>
                </c:pt>
                <c:pt idx="29">
                  <c:v>0.28580250000000001</c:v>
                </c:pt>
                <c:pt idx="30">
                  <c:v>0.28730250000000002</c:v>
                </c:pt>
                <c:pt idx="31">
                  <c:v>0.28880250000000002</c:v>
                </c:pt>
                <c:pt idx="32">
                  <c:v>0.29030250000000002</c:v>
                </c:pt>
                <c:pt idx="33">
                  <c:v>0.29180250000000002</c:v>
                </c:pt>
                <c:pt idx="34">
                  <c:v>0.29330250000000002</c:v>
                </c:pt>
                <c:pt idx="35">
                  <c:v>0.29480250000000002</c:v>
                </c:pt>
                <c:pt idx="36">
                  <c:v>0.29630250000000002</c:v>
                </c:pt>
                <c:pt idx="37">
                  <c:v>0.29780250000000003</c:v>
                </c:pt>
                <c:pt idx="38">
                  <c:v>0.29930250000000003</c:v>
                </c:pt>
                <c:pt idx="39">
                  <c:v>0.30080250000000003</c:v>
                </c:pt>
                <c:pt idx="40">
                  <c:v>0.30230250000000003</c:v>
                </c:pt>
                <c:pt idx="41">
                  <c:v>0.30380250000000003</c:v>
                </c:pt>
                <c:pt idx="42">
                  <c:v>0.30530250000000003</c:v>
                </c:pt>
                <c:pt idx="43">
                  <c:v>0.30680249999999998</c:v>
                </c:pt>
                <c:pt idx="44">
                  <c:v>0.30830250000000003</c:v>
                </c:pt>
                <c:pt idx="45">
                  <c:v>0.30980250000000004</c:v>
                </c:pt>
                <c:pt idx="46">
                  <c:v>0.31130250000000004</c:v>
                </c:pt>
                <c:pt idx="47">
                  <c:v>0.31280249999999998</c:v>
                </c:pt>
                <c:pt idx="48">
                  <c:v>0.31430250000000004</c:v>
                </c:pt>
                <c:pt idx="49">
                  <c:v>0.31580249999999999</c:v>
                </c:pt>
                <c:pt idx="50">
                  <c:v>0.31730250000000004</c:v>
                </c:pt>
                <c:pt idx="51">
                  <c:v>0.31880249999999999</c:v>
                </c:pt>
                <c:pt idx="52">
                  <c:v>0.32030249999999999</c:v>
                </c:pt>
                <c:pt idx="53">
                  <c:v>0.32180249999999999</c:v>
                </c:pt>
                <c:pt idx="54">
                  <c:v>0.32330250000000005</c:v>
                </c:pt>
                <c:pt idx="55">
                  <c:v>0.32480249999999999</c:v>
                </c:pt>
                <c:pt idx="56">
                  <c:v>0.3263025</c:v>
                </c:pt>
                <c:pt idx="57">
                  <c:v>0.3278025</c:v>
                </c:pt>
                <c:pt idx="58">
                  <c:v>0.3293025</c:v>
                </c:pt>
                <c:pt idx="59">
                  <c:v>0.3308025</c:v>
                </c:pt>
                <c:pt idx="60">
                  <c:v>0.3323025</c:v>
                </c:pt>
                <c:pt idx="61">
                  <c:v>0.3338025</c:v>
                </c:pt>
                <c:pt idx="62">
                  <c:v>0.3353025</c:v>
                </c:pt>
                <c:pt idx="63">
                  <c:v>0.3368025</c:v>
                </c:pt>
                <c:pt idx="64">
                  <c:v>0.33830250000000001</c:v>
                </c:pt>
                <c:pt idx="65">
                  <c:v>0.33980250000000001</c:v>
                </c:pt>
                <c:pt idx="66">
                  <c:v>0.34130250000000001</c:v>
                </c:pt>
                <c:pt idx="67">
                  <c:v>0.34280250000000001</c:v>
                </c:pt>
                <c:pt idx="68">
                  <c:v>0.34430250000000001</c:v>
                </c:pt>
                <c:pt idx="69">
                  <c:v>0.34580250000000001</c:v>
                </c:pt>
                <c:pt idx="70">
                  <c:v>0.34730250000000001</c:v>
                </c:pt>
                <c:pt idx="71">
                  <c:v>0.34880250000000002</c:v>
                </c:pt>
                <c:pt idx="72">
                  <c:v>0.35030250000000002</c:v>
                </c:pt>
                <c:pt idx="73">
                  <c:v>0.35180250000000002</c:v>
                </c:pt>
                <c:pt idx="74">
                  <c:v>0.35330250000000002</c:v>
                </c:pt>
                <c:pt idx="75">
                  <c:v>0.35480250000000002</c:v>
                </c:pt>
                <c:pt idx="76">
                  <c:v>0.35630250000000002</c:v>
                </c:pt>
                <c:pt idx="77">
                  <c:v>0.35780250000000002</c:v>
                </c:pt>
                <c:pt idx="78">
                  <c:v>0.35930250000000002</c:v>
                </c:pt>
                <c:pt idx="79">
                  <c:v>0.36080250000000003</c:v>
                </c:pt>
                <c:pt idx="80">
                  <c:v>0.36230249999999997</c:v>
                </c:pt>
                <c:pt idx="81">
                  <c:v>0.36380250000000003</c:v>
                </c:pt>
                <c:pt idx="82">
                  <c:v>0.36530250000000003</c:v>
                </c:pt>
                <c:pt idx="83">
                  <c:v>0.36680250000000003</c:v>
                </c:pt>
                <c:pt idx="84">
                  <c:v>0.36830250000000003</c:v>
                </c:pt>
                <c:pt idx="85">
                  <c:v>0.36980250000000003</c:v>
                </c:pt>
                <c:pt idx="86">
                  <c:v>0.37130249999999998</c:v>
                </c:pt>
                <c:pt idx="87">
                  <c:v>0.37280250000000004</c:v>
                </c:pt>
                <c:pt idx="88">
                  <c:v>0.37430249999999998</c:v>
                </c:pt>
                <c:pt idx="89">
                  <c:v>0.37580250000000004</c:v>
                </c:pt>
                <c:pt idx="90">
                  <c:v>0.37730250000000004</c:v>
                </c:pt>
                <c:pt idx="91">
                  <c:v>0.37880250000000004</c:v>
                </c:pt>
                <c:pt idx="92">
                  <c:v>0.38030249999999999</c:v>
                </c:pt>
                <c:pt idx="93">
                  <c:v>0.38180250000000004</c:v>
                </c:pt>
                <c:pt idx="94">
                  <c:v>0.38330249999999999</c:v>
                </c:pt>
                <c:pt idx="95">
                  <c:v>0.38480250000000005</c:v>
                </c:pt>
                <c:pt idx="96">
                  <c:v>0.38630249999999999</c:v>
                </c:pt>
                <c:pt idx="97">
                  <c:v>0.38780250000000005</c:v>
                </c:pt>
                <c:pt idx="98">
                  <c:v>0.3893025</c:v>
                </c:pt>
                <c:pt idx="99">
                  <c:v>0.39080250000000005</c:v>
                </c:pt>
                <c:pt idx="100">
                  <c:v>0.3923025</c:v>
                </c:pt>
                <c:pt idx="101">
                  <c:v>0.3938025</c:v>
                </c:pt>
                <c:pt idx="102">
                  <c:v>0.3953025</c:v>
                </c:pt>
                <c:pt idx="103">
                  <c:v>0.39680250000000006</c:v>
                </c:pt>
                <c:pt idx="104">
                  <c:v>0.3983025</c:v>
                </c:pt>
                <c:pt idx="105">
                  <c:v>0.39980250000000006</c:v>
                </c:pt>
                <c:pt idx="106">
                  <c:v>0.40130250000000001</c:v>
                </c:pt>
                <c:pt idx="107">
                  <c:v>0.40280250000000001</c:v>
                </c:pt>
                <c:pt idx="108">
                  <c:v>0.40430250000000001</c:v>
                </c:pt>
                <c:pt idx="109">
                  <c:v>0.40580250000000001</c:v>
                </c:pt>
                <c:pt idx="110">
                  <c:v>0.40730250000000001</c:v>
                </c:pt>
                <c:pt idx="111">
                  <c:v>0.40880250000000007</c:v>
                </c:pt>
                <c:pt idx="112">
                  <c:v>0.41030250000000001</c:v>
                </c:pt>
                <c:pt idx="113">
                  <c:v>0.41180250000000002</c:v>
                </c:pt>
                <c:pt idx="114">
                  <c:v>0.41330250000000002</c:v>
                </c:pt>
                <c:pt idx="115">
                  <c:v>0.41480250000000002</c:v>
                </c:pt>
                <c:pt idx="116">
                  <c:v>0.41630250000000002</c:v>
                </c:pt>
                <c:pt idx="117">
                  <c:v>0.41780250000000002</c:v>
                </c:pt>
                <c:pt idx="118">
                  <c:v>0.41930250000000002</c:v>
                </c:pt>
                <c:pt idx="119">
                  <c:v>0.42080249999999997</c:v>
                </c:pt>
                <c:pt idx="120">
                  <c:v>0.42230250000000003</c:v>
                </c:pt>
                <c:pt idx="121">
                  <c:v>0.42380250000000003</c:v>
                </c:pt>
                <c:pt idx="122">
                  <c:v>0.42530250000000003</c:v>
                </c:pt>
                <c:pt idx="123">
                  <c:v>0.42680250000000003</c:v>
                </c:pt>
                <c:pt idx="124">
                  <c:v>0.42830250000000003</c:v>
                </c:pt>
                <c:pt idx="125">
                  <c:v>0.42980249999999998</c:v>
                </c:pt>
                <c:pt idx="126">
                  <c:v>0.43130250000000003</c:v>
                </c:pt>
                <c:pt idx="127">
                  <c:v>0.43280249999999998</c:v>
                </c:pt>
                <c:pt idx="128">
                  <c:v>0.43430250000000004</c:v>
                </c:pt>
                <c:pt idx="129">
                  <c:v>0.43580250000000004</c:v>
                </c:pt>
                <c:pt idx="130">
                  <c:v>0.43730250000000004</c:v>
                </c:pt>
                <c:pt idx="131">
                  <c:v>0.43880249999999998</c:v>
                </c:pt>
                <c:pt idx="132">
                  <c:v>0.44030250000000004</c:v>
                </c:pt>
                <c:pt idx="133">
                  <c:v>0.44180249999999999</c:v>
                </c:pt>
                <c:pt idx="134">
                  <c:v>0.44330250000000004</c:v>
                </c:pt>
                <c:pt idx="135">
                  <c:v>0.44480249999999999</c:v>
                </c:pt>
                <c:pt idx="136">
                  <c:v>0.44630250000000005</c:v>
                </c:pt>
                <c:pt idx="137">
                  <c:v>0.44780249999999999</c:v>
                </c:pt>
                <c:pt idx="138">
                  <c:v>0.44930250000000005</c:v>
                </c:pt>
                <c:pt idx="139">
                  <c:v>0.45080249999999999</c:v>
                </c:pt>
                <c:pt idx="140">
                  <c:v>0.45230250000000005</c:v>
                </c:pt>
                <c:pt idx="141">
                  <c:v>0.4538025</c:v>
                </c:pt>
                <c:pt idx="142">
                  <c:v>0.45530250000000005</c:v>
                </c:pt>
                <c:pt idx="143">
                  <c:v>0.4568025</c:v>
                </c:pt>
                <c:pt idx="144">
                  <c:v>0.45830250000000006</c:v>
                </c:pt>
                <c:pt idx="145">
                  <c:v>0.4598025</c:v>
                </c:pt>
                <c:pt idx="146">
                  <c:v>0.46130250000000006</c:v>
                </c:pt>
                <c:pt idx="147">
                  <c:v>0.46280250000000001</c:v>
                </c:pt>
                <c:pt idx="148">
                  <c:v>0.46430250000000001</c:v>
                </c:pt>
                <c:pt idx="149">
                  <c:v>0.46580250000000001</c:v>
                </c:pt>
                <c:pt idx="150">
                  <c:v>0.46730250000000001</c:v>
                </c:pt>
              </c:numCache>
            </c:numRef>
          </c:yVal>
          <c:smooth val="1"/>
          <c:extLst>
            <c:ext xmlns:c16="http://schemas.microsoft.com/office/drawing/2014/chart" uri="{C3380CC4-5D6E-409C-BE32-E72D297353CC}">
              <c16:uniqueId val="{00000002-D428-476F-9D9B-414A5D21B4D3}"/>
            </c:ext>
          </c:extLst>
        </c:ser>
        <c:ser>
          <c:idx val="3"/>
          <c:order val="3"/>
          <c:tx>
            <c:v>RCS</c:v>
          </c:tx>
          <c:spPr>
            <a:ln>
              <a:solidFill>
                <a:schemeClr val="accent5">
                  <a:lumMod val="75000"/>
                </a:schemeClr>
              </a:solidFill>
              <a:prstDash val="lgDashDotDot"/>
            </a:ln>
          </c:spPr>
          <c:marker>
            <c:symbol val="none"/>
          </c:marker>
          <c:xVal>
            <c:numRef>
              <c:f>Eff_vs_IOUT!$S$7:$S$157</c:f>
              <c:numCache>
                <c:formatCode>General</c:formatCode>
                <c:ptCount val="151"/>
                <c:pt idx="0">
                  <c:v>0</c:v>
                </c:pt>
                <c:pt idx="1">
                  <c:v>3.3333333333333335E-3</c:v>
                </c:pt>
                <c:pt idx="2">
                  <c:v>6.6666666666666671E-3</c:v>
                </c:pt>
                <c:pt idx="3">
                  <c:v>0.01</c:v>
                </c:pt>
                <c:pt idx="4">
                  <c:v>1.3333333333333334E-2</c:v>
                </c:pt>
                <c:pt idx="5">
                  <c:v>1.6666666666666666E-2</c:v>
                </c:pt>
                <c:pt idx="6">
                  <c:v>0.02</c:v>
                </c:pt>
                <c:pt idx="7">
                  <c:v>2.3333333333333334E-2</c:v>
                </c:pt>
                <c:pt idx="8">
                  <c:v>2.6666666666666668E-2</c:v>
                </c:pt>
                <c:pt idx="9">
                  <c:v>3.0000000000000002E-2</c:v>
                </c:pt>
                <c:pt idx="10">
                  <c:v>3.3333333333333333E-2</c:v>
                </c:pt>
                <c:pt idx="11">
                  <c:v>3.6666666666666667E-2</c:v>
                </c:pt>
                <c:pt idx="12">
                  <c:v>0.04</c:v>
                </c:pt>
                <c:pt idx="13">
                  <c:v>4.3333333333333335E-2</c:v>
                </c:pt>
                <c:pt idx="14">
                  <c:v>4.6666666666666669E-2</c:v>
                </c:pt>
                <c:pt idx="15">
                  <c:v>0.05</c:v>
                </c:pt>
                <c:pt idx="16">
                  <c:v>5.3333333333333337E-2</c:v>
                </c:pt>
                <c:pt idx="17">
                  <c:v>5.6666666666666671E-2</c:v>
                </c:pt>
                <c:pt idx="18">
                  <c:v>6.0000000000000005E-2</c:v>
                </c:pt>
                <c:pt idx="19">
                  <c:v>6.3333333333333339E-2</c:v>
                </c:pt>
                <c:pt idx="20">
                  <c:v>6.6666666666666666E-2</c:v>
                </c:pt>
                <c:pt idx="21">
                  <c:v>7.0000000000000007E-2</c:v>
                </c:pt>
                <c:pt idx="22">
                  <c:v>7.3333333333333334E-2</c:v>
                </c:pt>
                <c:pt idx="23">
                  <c:v>7.6666666666666675E-2</c:v>
                </c:pt>
                <c:pt idx="24">
                  <c:v>0.08</c:v>
                </c:pt>
                <c:pt idx="25">
                  <c:v>8.3333333333333343E-2</c:v>
                </c:pt>
                <c:pt idx="26">
                  <c:v>8.666666666666667E-2</c:v>
                </c:pt>
                <c:pt idx="27">
                  <c:v>9.0000000000000011E-2</c:v>
                </c:pt>
                <c:pt idx="28">
                  <c:v>9.3333333333333338E-2</c:v>
                </c:pt>
                <c:pt idx="29">
                  <c:v>9.6666666666666679E-2</c:v>
                </c:pt>
                <c:pt idx="30">
                  <c:v>0.1</c:v>
                </c:pt>
                <c:pt idx="31">
                  <c:v>0.10333333333333335</c:v>
                </c:pt>
                <c:pt idx="32">
                  <c:v>0.10666666666666667</c:v>
                </c:pt>
                <c:pt idx="33">
                  <c:v>0.11</c:v>
                </c:pt>
                <c:pt idx="34">
                  <c:v>0.11333333333333334</c:v>
                </c:pt>
                <c:pt idx="35">
                  <c:v>0.11666666666666667</c:v>
                </c:pt>
                <c:pt idx="36">
                  <c:v>0.12000000000000001</c:v>
                </c:pt>
                <c:pt idx="37">
                  <c:v>0.12333333333333334</c:v>
                </c:pt>
                <c:pt idx="38">
                  <c:v>0.12666666666666668</c:v>
                </c:pt>
                <c:pt idx="39">
                  <c:v>0.13</c:v>
                </c:pt>
                <c:pt idx="40">
                  <c:v>0.13333333333333333</c:v>
                </c:pt>
                <c:pt idx="41">
                  <c:v>0.13666666666666669</c:v>
                </c:pt>
                <c:pt idx="42">
                  <c:v>0.14000000000000001</c:v>
                </c:pt>
                <c:pt idx="43">
                  <c:v>0.14333333333333334</c:v>
                </c:pt>
                <c:pt idx="44">
                  <c:v>0.14666666666666667</c:v>
                </c:pt>
                <c:pt idx="45">
                  <c:v>0.15000000000000002</c:v>
                </c:pt>
                <c:pt idx="46">
                  <c:v>0.15333333333333335</c:v>
                </c:pt>
                <c:pt idx="47">
                  <c:v>0.15666666666666668</c:v>
                </c:pt>
                <c:pt idx="48">
                  <c:v>0.16</c:v>
                </c:pt>
                <c:pt idx="49">
                  <c:v>0.16333333333333333</c:v>
                </c:pt>
                <c:pt idx="50">
                  <c:v>0.16666666666666669</c:v>
                </c:pt>
                <c:pt idx="51">
                  <c:v>0.17</c:v>
                </c:pt>
                <c:pt idx="52">
                  <c:v>0.17333333333333334</c:v>
                </c:pt>
                <c:pt idx="53">
                  <c:v>0.17666666666666667</c:v>
                </c:pt>
                <c:pt idx="54">
                  <c:v>0.18000000000000002</c:v>
                </c:pt>
                <c:pt idx="55">
                  <c:v>0.18333333333333335</c:v>
                </c:pt>
                <c:pt idx="56">
                  <c:v>0.18666666666666668</c:v>
                </c:pt>
                <c:pt idx="57">
                  <c:v>0.19</c:v>
                </c:pt>
                <c:pt idx="58">
                  <c:v>0.19333333333333336</c:v>
                </c:pt>
                <c:pt idx="59">
                  <c:v>0.19666666666666668</c:v>
                </c:pt>
                <c:pt idx="60">
                  <c:v>0.2</c:v>
                </c:pt>
                <c:pt idx="61">
                  <c:v>0.20333333333333334</c:v>
                </c:pt>
                <c:pt idx="62">
                  <c:v>0.20666666666666669</c:v>
                </c:pt>
                <c:pt idx="63">
                  <c:v>0.21000000000000002</c:v>
                </c:pt>
                <c:pt idx="64">
                  <c:v>0.21333333333333335</c:v>
                </c:pt>
                <c:pt idx="65">
                  <c:v>0.21666666666666667</c:v>
                </c:pt>
                <c:pt idx="66">
                  <c:v>0.22</c:v>
                </c:pt>
                <c:pt idx="67">
                  <c:v>0.22333333333333336</c:v>
                </c:pt>
                <c:pt idx="68">
                  <c:v>0.22666666666666668</c:v>
                </c:pt>
                <c:pt idx="69">
                  <c:v>0.23</c:v>
                </c:pt>
                <c:pt idx="70">
                  <c:v>0.23333333333333334</c:v>
                </c:pt>
                <c:pt idx="71">
                  <c:v>0.23666666666666669</c:v>
                </c:pt>
                <c:pt idx="72">
                  <c:v>0.24000000000000002</c:v>
                </c:pt>
                <c:pt idx="73">
                  <c:v>0.24333333333333335</c:v>
                </c:pt>
                <c:pt idx="74">
                  <c:v>0.24666666666666667</c:v>
                </c:pt>
                <c:pt idx="75">
                  <c:v>0.25</c:v>
                </c:pt>
                <c:pt idx="76">
                  <c:v>0.25333333333333335</c:v>
                </c:pt>
                <c:pt idx="77">
                  <c:v>0.25666666666666671</c:v>
                </c:pt>
                <c:pt idx="78">
                  <c:v>0.26</c:v>
                </c:pt>
                <c:pt idx="79">
                  <c:v>0.26333333333333336</c:v>
                </c:pt>
                <c:pt idx="80">
                  <c:v>0.26666666666666666</c:v>
                </c:pt>
                <c:pt idx="81">
                  <c:v>0.27</c:v>
                </c:pt>
                <c:pt idx="82">
                  <c:v>0.27333333333333337</c:v>
                </c:pt>
                <c:pt idx="83">
                  <c:v>0.27666666666666667</c:v>
                </c:pt>
                <c:pt idx="84">
                  <c:v>0.28000000000000003</c:v>
                </c:pt>
                <c:pt idx="85">
                  <c:v>0.28333333333333333</c:v>
                </c:pt>
                <c:pt idx="86">
                  <c:v>0.28666666666666668</c:v>
                </c:pt>
                <c:pt idx="87">
                  <c:v>0.29000000000000004</c:v>
                </c:pt>
                <c:pt idx="88">
                  <c:v>0.29333333333333333</c:v>
                </c:pt>
                <c:pt idx="89">
                  <c:v>0.29666666666666669</c:v>
                </c:pt>
                <c:pt idx="90">
                  <c:v>0.30000000000000004</c:v>
                </c:pt>
                <c:pt idx="91">
                  <c:v>0.30333333333333334</c:v>
                </c:pt>
                <c:pt idx="92">
                  <c:v>0.3066666666666667</c:v>
                </c:pt>
                <c:pt idx="93">
                  <c:v>0.31</c:v>
                </c:pt>
                <c:pt idx="94">
                  <c:v>0.31333333333333335</c:v>
                </c:pt>
                <c:pt idx="95">
                  <c:v>0.31666666666666671</c:v>
                </c:pt>
                <c:pt idx="96">
                  <c:v>0.32</c:v>
                </c:pt>
                <c:pt idx="97">
                  <c:v>0.32333333333333336</c:v>
                </c:pt>
                <c:pt idx="98">
                  <c:v>0.32666666666666666</c:v>
                </c:pt>
                <c:pt idx="99">
                  <c:v>0.33</c:v>
                </c:pt>
                <c:pt idx="100">
                  <c:v>0.33333333333333337</c:v>
                </c:pt>
                <c:pt idx="101">
                  <c:v>0.33666666666666667</c:v>
                </c:pt>
                <c:pt idx="102">
                  <c:v>0.34</c:v>
                </c:pt>
                <c:pt idx="103">
                  <c:v>0.34333333333333338</c:v>
                </c:pt>
                <c:pt idx="104">
                  <c:v>0.34666666666666668</c:v>
                </c:pt>
                <c:pt idx="105">
                  <c:v>0.35000000000000003</c:v>
                </c:pt>
                <c:pt idx="106">
                  <c:v>0.35333333333333333</c:v>
                </c:pt>
                <c:pt idx="107">
                  <c:v>0.35666666666666669</c:v>
                </c:pt>
                <c:pt idx="108">
                  <c:v>0.36000000000000004</c:v>
                </c:pt>
                <c:pt idx="109">
                  <c:v>0.36333333333333334</c:v>
                </c:pt>
                <c:pt idx="110">
                  <c:v>0.3666666666666667</c:v>
                </c:pt>
                <c:pt idx="111">
                  <c:v>0.37000000000000005</c:v>
                </c:pt>
                <c:pt idx="112">
                  <c:v>0.37333333333333335</c:v>
                </c:pt>
                <c:pt idx="113">
                  <c:v>0.37666666666666671</c:v>
                </c:pt>
                <c:pt idx="114">
                  <c:v>0.38</c:v>
                </c:pt>
                <c:pt idx="115">
                  <c:v>0.38333333333333336</c:v>
                </c:pt>
                <c:pt idx="116">
                  <c:v>0.38666666666666671</c:v>
                </c:pt>
                <c:pt idx="117">
                  <c:v>0.39</c:v>
                </c:pt>
                <c:pt idx="118">
                  <c:v>0.39333333333333337</c:v>
                </c:pt>
                <c:pt idx="119">
                  <c:v>0.39666666666666667</c:v>
                </c:pt>
                <c:pt idx="120">
                  <c:v>0.4</c:v>
                </c:pt>
                <c:pt idx="121">
                  <c:v>0.40333333333333338</c:v>
                </c:pt>
                <c:pt idx="122">
                  <c:v>0.40666666666666668</c:v>
                </c:pt>
                <c:pt idx="123">
                  <c:v>0.41000000000000003</c:v>
                </c:pt>
                <c:pt idx="124">
                  <c:v>0.41333333333333339</c:v>
                </c:pt>
                <c:pt idx="125">
                  <c:v>0.41666666666666669</c:v>
                </c:pt>
                <c:pt idx="126">
                  <c:v>0.42000000000000004</c:v>
                </c:pt>
                <c:pt idx="127">
                  <c:v>0.42333333333333334</c:v>
                </c:pt>
                <c:pt idx="128">
                  <c:v>0.42666666666666669</c:v>
                </c:pt>
                <c:pt idx="129">
                  <c:v>0.43000000000000005</c:v>
                </c:pt>
                <c:pt idx="130">
                  <c:v>0.43333333333333335</c:v>
                </c:pt>
                <c:pt idx="131">
                  <c:v>0.4366666666666667</c:v>
                </c:pt>
                <c:pt idx="132">
                  <c:v>0.44</c:v>
                </c:pt>
                <c:pt idx="133">
                  <c:v>0.44333333333333336</c:v>
                </c:pt>
                <c:pt idx="134">
                  <c:v>0.44666666666666671</c:v>
                </c:pt>
                <c:pt idx="135">
                  <c:v>0.45</c:v>
                </c:pt>
                <c:pt idx="136">
                  <c:v>0.45333333333333337</c:v>
                </c:pt>
                <c:pt idx="137">
                  <c:v>0.45666666666666672</c:v>
                </c:pt>
                <c:pt idx="138">
                  <c:v>0.46</c:v>
                </c:pt>
                <c:pt idx="139">
                  <c:v>0.46333333333333337</c:v>
                </c:pt>
                <c:pt idx="140">
                  <c:v>0.46666666666666667</c:v>
                </c:pt>
                <c:pt idx="141">
                  <c:v>0.47000000000000003</c:v>
                </c:pt>
                <c:pt idx="142">
                  <c:v>0.47333333333333338</c:v>
                </c:pt>
                <c:pt idx="143">
                  <c:v>0.47666666666666668</c:v>
                </c:pt>
                <c:pt idx="144">
                  <c:v>0.48000000000000004</c:v>
                </c:pt>
                <c:pt idx="145">
                  <c:v>0.48333333333333334</c:v>
                </c:pt>
                <c:pt idx="146">
                  <c:v>0.48666666666666669</c:v>
                </c:pt>
                <c:pt idx="147">
                  <c:v>0.49000000000000005</c:v>
                </c:pt>
                <c:pt idx="148">
                  <c:v>0.49333333333333335</c:v>
                </c:pt>
                <c:pt idx="149">
                  <c:v>0.4966666666666667</c:v>
                </c:pt>
                <c:pt idx="150">
                  <c:v>0.5</c:v>
                </c:pt>
              </c:numCache>
            </c:numRef>
          </c:xVal>
          <c:yVal>
            <c:numRef>
              <c:f>Eff_vs_IOUT!$AO$7:$AO$157</c:f>
              <c:numCache>
                <c:formatCode>General</c:formatCode>
                <c:ptCount val="151"/>
                <c:pt idx="0">
                  <c:v>0</c:v>
                </c:pt>
                <c:pt idx="1">
                  <c:v>1.3084897907015752E-6</c:v>
                </c:pt>
                <c:pt idx="2">
                  <c:v>3.7009680164737987E-6</c:v>
                </c:pt>
                <c:pt idx="3">
                  <c:v>6.7991123960408815E-6</c:v>
                </c:pt>
                <c:pt idx="4">
                  <c:v>1.04679183256126E-5</c:v>
                </c:pt>
                <c:pt idx="5">
                  <c:v>1.4629360599365972E-5</c:v>
                </c:pt>
                <c:pt idx="6">
                  <c:v>1.9230793925160098E-5</c:v>
                </c:pt>
                <c:pt idx="7">
                  <c:v>2.4233570054843275E-5</c:v>
                </c:pt>
                <c:pt idx="8">
                  <c:v>2.960774413179039E-5</c:v>
                </c:pt>
                <c:pt idx="9">
                  <c:v>3.5329224348942527E-5</c:v>
                </c:pt>
                <c:pt idx="10">
                  <c:v>4.1378080336939909E-5</c:v>
                </c:pt>
                <c:pt idx="11">
                  <c:v>4.7737466455445715E-5</c:v>
                </c:pt>
                <c:pt idx="12">
                  <c:v>5.4392899168327039E-5</c:v>
                </c:pt>
                <c:pt idx="13">
                  <c:v>6.1331751439343718E-5</c:v>
                </c:pt>
                <c:pt idx="14">
                  <c:v>6.854288687255575E-5</c:v>
                </c:pt>
                <c:pt idx="15">
                  <c:v>7.6016387521044441E-5</c:v>
                </c:pt>
                <c:pt idx="16">
                  <c:v>8.3743346604900815E-5</c:v>
                </c:pt>
                <c:pt idx="17">
                  <c:v>9.1715707490783987E-5</c:v>
                </c:pt>
                <c:pt idx="18">
                  <c:v>9.9926136444792644E-5</c:v>
                </c:pt>
                <c:pt idx="19">
                  <c:v>1.0836792056013423E-4</c:v>
                </c:pt>
                <c:pt idx="20">
                  <c:v>1.1703488479492779E-4</c:v>
                </c:pt>
                <c:pt idx="21">
                  <c:v>1.2592132375130477E-4</c:v>
                </c:pt>
                <c:pt idx="22">
                  <c:v>1.3502194498924401E-4</c:v>
                </c:pt>
                <c:pt idx="23">
                  <c:v>1.4433182148212791E-4</c:v>
                </c:pt>
                <c:pt idx="24">
                  <c:v>1.5384635140128076E-4</c:v>
                </c:pt>
                <c:pt idx="25">
                  <c:v>1.63561223837697E-4</c:v>
                </c:pt>
                <c:pt idx="26">
                  <c:v>1.7347238937923096E-4</c:v>
                </c:pt>
                <c:pt idx="27">
                  <c:v>1.835760346931038E-4</c:v>
                </c:pt>
                <c:pt idx="28">
                  <c:v>1.9386856043874623E-4</c:v>
                </c:pt>
                <c:pt idx="29">
                  <c:v>2.0434656197004661E-4</c:v>
                </c:pt>
                <c:pt idx="30">
                  <c:v>2.1500681238973988E-4</c:v>
                </c:pt>
                <c:pt idx="31">
                  <c:v>2.2584624759964948E-4</c:v>
                </c:pt>
                <c:pt idx="32">
                  <c:v>2.3686195305432312E-4</c:v>
                </c:pt>
                <c:pt idx="33">
                  <c:v>2.4805115197634086E-4</c:v>
                </c:pt>
                <c:pt idx="34">
                  <c:v>2.5941119483222075E-4</c:v>
                </c:pt>
                <c:pt idx="35">
                  <c:v>2.7093954990066443E-4</c:v>
                </c:pt>
                <c:pt idx="36">
                  <c:v>2.8263379479154022E-4</c:v>
                </c:pt>
                <c:pt idx="37">
                  <c:v>2.9449160879582015E-4</c:v>
                </c:pt>
                <c:pt idx="38">
                  <c:v>3.2103444480833631E-4</c:v>
                </c:pt>
                <c:pt idx="39">
                  <c:v>3.3412829112569223E-4</c:v>
                </c:pt>
                <c:pt idx="40">
                  <c:v>3.4756223734739444E-4</c:v>
                </c:pt>
                <c:pt idx="41">
                  <c:v>3.6133628347344407E-4</c:v>
                </c:pt>
                <c:pt idx="42">
                  <c:v>3.7545042950384053E-4</c:v>
                </c:pt>
                <c:pt idx="43">
                  <c:v>3.8990467543858375E-4</c:v>
                </c:pt>
                <c:pt idx="44">
                  <c:v>4.0469902127767402E-4</c:v>
                </c:pt>
                <c:pt idx="45">
                  <c:v>4.1983346702111134E-4</c:v>
                </c:pt>
                <c:pt idx="46">
                  <c:v>4.3530801266889542E-4</c:v>
                </c:pt>
                <c:pt idx="47">
                  <c:v>4.5112265822102628E-4</c:v>
                </c:pt>
                <c:pt idx="48">
                  <c:v>4.6727740367750423E-4</c:v>
                </c:pt>
                <c:pt idx="49">
                  <c:v>4.8377224903832901E-4</c:v>
                </c:pt>
                <c:pt idx="50">
                  <c:v>5.0060719430350072E-4</c:v>
                </c:pt>
                <c:pt idx="51">
                  <c:v>5.1778223947301905E-4</c:v>
                </c:pt>
                <c:pt idx="52">
                  <c:v>5.3529738454688436E-4</c:v>
                </c:pt>
                <c:pt idx="53">
                  <c:v>5.5315262952509655E-4</c:v>
                </c:pt>
                <c:pt idx="54">
                  <c:v>5.7134797440765595E-4</c:v>
                </c:pt>
                <c:pt idx="55">
                  <c:v>5.8988341919456223E-4</c:v>
                </c:pt>
                <c:pt idx="56">
                  <c:v>6.0875896388581517E-4</c:v>
                </c:pt>
                <c:pt idx="57">
                  <c:v>6.27974608481415E-4</c:v>
                </c:pt>
                <c:pt idx="58">
                  <c:v>6.4753035298136235E-4</c:v>
                </c:pt>
                <c:pt idx="59">
                  <c:v>6.6742619738565582E-4</c:v>
                </c:pt>
                <c:pt idx="60">
                  <c:v>6.876621416942965E-4</c:v>
                </c:pt>
                <c:pt idx="61">
                  <c:v>7.0823818590728385E-4</c:v>
                </c:pt>
                <c:pt idx="62">
                  <c:v>7.2915433002461851E-4</c:v>
                </c:pt>
                <c:pt idx="63">
                  <c:v>7.5041057404630004E-4</c:v>
                </c:pt>
                <c:pt idx="64">
                  <c:v>7.7200691797232846E-4</c:v>
                </c:pt>
                <c:pt idx="65">
                  <c:v>7.9394336180270354E-4</c:v>
                </c:pt>
                <c:pt idx="66">
                  <c:v>8.162199055374254E-4</c:v>
                </c:pt>
                <c:pt idx="67">
                  <c:v>8.3883654917649457E-4</c:v>
                </c:pt>
                <c:pt idx="68">
                  <c:v>8.6179329271991007E-4</c:v>
                </c:pt>
                <c:pt idx="69">
                  <c:v>8.8509013616767278E-4</c:v>
                </c:pt>
                <c:pt idx="70">
                  <c:v>9.0872707951978248E-4</c:v>
                </c:pt>
                <c:pt idx="71">
                  <c:v>9.3270412277623907E-4</c:v>
                </c:pt>
                <c:pt idx="72">
                  <c:v>9.5702126593704307E-4</c:v>
                </c:pt>
                <c:pt idx="73">
                  <c:v>9.8167850900219298E-4</c:v>
                </c:pt>
                <c:pt idx="74">
                  <c:v>1.0066758519716903E-3</c:v>
                </c:pt>
                <c:pt idx="75">
                  <c:v>1.0320132948455345E-3</c:v>
                </c:pt>
                <c:pt idx="76">
                  <c:v>1.0576908376237263E-3</c:v>
                </c:pt>
                <c:pt idx="77">
                  <c:v>1.0837084803062642E-3</c:v>
                </c:pt>
                <c:pt idx="78">
                  <c:v>1.1100662228931484E-3</c:v>
                </c:pt>
                <c:pt idx="79">
                  <c:v>1.1367640653843802E-3</c:v>
                </c:pt>
                <c:pt idx="80">
                  <c:v>1.1638020077799588E-3</c:v>
                </c:pt>
                <c:pt idx="81">
                  <c:v>1.1911800500798847E-3</c:v>
                </c:pt>
                <c:pt idx="82">
                  <c:v>1.2188981922841569E-3</c:v>
                </c:pt>
                <c:pt idx="83">
                  <c:v>1.2469564343927768E-3</c:v>
                </c:pt>
                <c:pt idx="84">
                  <c:v>1.2753547764057435E-3</c:v>
                </c:pt>
                <c:pt idx="85">
                  <c:v>1.3040932183230563E-3</c:v>
                </c:pt>
                <c:pt idx="86">
                  <c:v>1.333171760144716E-3</c:v>
                </c:pt>
                <c:pt idx="87">
                  <c:v>1.3625904018707228E-3</c:v>
                </c:pt>
                <c:pt idx="88">
                  <c:v>1.3923491435010762E-3</c:v>
                </c:pt>
                <c:pt idx="89">
                  <c:v>1.4224479850357776E-3</c:v>
                </c:pt>
                <c:pt idx="90">
                  <c:v>1.4528869264748259E-3</c:v>
                </c:pt>
                <c:pt idx="91">
                  <c:v>1.4836659678182204E-3</c:v>
                </c:pt>
                <c:pt idx="92">
                  <c:v>1.5147851090659623E-3</c:v>
                </c:pt>
                <c:pt idx="93">
                  <c:v>1.5462443502180497E-3</c:v>
                </c:pt>
                <c:pt idx="94">
                  <c:v>1.5780436912744861E-3</c:v>
                </c:pt>
                <c:pt idx="95">
                  <c:v>1.6101831322352675E-3</c:v>
                </c:pt>
                <c:pt idx="96">
                  <c:v>1.6426626731003971E-3</c:v>
                </c:pt>
                <c:pt idx="97">
                  <c:v>1.6754823138698735E-3</c:v>
                </c:pt>
                <c:pt idx="98">
                  <c:v>1.7086420545436957E-3</c:v>
                </c:pt>
                <c:pt idx="99">
                  <c:v>1.7421418951218651E-3</c:v>
                </c:pt>
                <c:pt idx="100">
                  <c:v>1.7759818356043826E-3</c:v>
                </c:pt>
                <c:pt idx="101">
                  <c:v>1.8101618759912455E-3</c:v>
                </c:pt>
                <c:pt idx="102">
                  <c:v>1.8446820162824574E-3</c:v>
                </c:pt>
                <c:pt idx="103">
                  <c:v>1.8795422564780158E-3</c:v>
                </c:pt>
                <c:pt idx="104">
                  <c:v>1.9147425965779176E-3</c:v>
                </c:pt>
                <c:pt idx="105">
                  <c:v>1.9502830365821708E-3</c:v>
                </c:pt>
                <c:pt idx="106">
                  <c:v>1.9861635764907679E-3</c:v>
                </c:pt>
                <c:pt idx="107">
                  <c:v>2.022384216303714E-3</c:v>
                </c:pt>
                <c:pt idx="108">
                  <c:v>2.0589449560210055E-3</c:v>
                </c:pt>
                <c:pt idx="109">
                  <c:v>2.095845795642644E-3</c:v>
                </c:pt>
                <c:pt idx="110">
                  <c:v>2.1330867351686297E-3</c:v>
                </c:pt>
                <c:pt idx="111">
                  <c:v>2.1706677745989621E-3</c:v>
                </c:pt>
                <c:pt idx="112">
                  <c:v>2.2085889139336415E-3</c:v>
                </c:pt>
                <c:pt idx="113">
                  <c:v>2.246850153172668E-3</c:v>
                </c:pt>
                <c:pt idx="114">
                  <c:v>2.2854514923160403E-3</c:v>
                </c:pt>
                <c:pt idx="115">
                  <c:v>2.3243929313637619E-3</c:v>
                </c:pt>
                <c:pt idx="116">
                  <c:v>2.3636744703158285E-3</c:v>
                </c:pt>
                <c:pt idx="117">
                  <c:v>2.4032961091722434E-3</c:v>
                </c:pt>
                <c:pt idx="118">
                  <c:v>2.4432578479330037E-3</c:v>
                </c:pt>
                <c:pt idx="119">
                  <c:v>2.4835596865981115E-3</c:v>
                </c:pt>
                <c:pt idx="120">
                  <c:v>2.5242016251675672E-3</c:v>
                </c:pt>
                <c:pt idx="121">
                  <c:v>2.5651836636413688E-3</c:v>
                </c:pt>
                <c:pt idx="122">
                  <c:v>2.6065058020195171E-3</c:v>
                </c:pt>
                <c:pt idx="123">
                  <c:v>2.6481680403020115E-3</c:v>
                </c:pt>
                <c:pt idx="124">
                  <c:v>2.6901703784888544E-3</c:v>
                </c:pt>
                <c:pt idx="125">
                  <c:v>2.7325128165800443E-3</c:v>
                </c:pt>
                <c:pt idx="126">
                  <c:v>2.7751953545755792E-3</c:v>
                </c:pt>
                <c:pt idx="127">
                  <c:v>2.8182179924754625E-3</c:v>
                </c:pt>
                <c:pt idx="128">
                  <c:v>2.8615807302796946E-3</c:v>
                </c:pt>
                <c:pt idx="129">
                  <c:v>2.9052835679882704E-3</c:v>
                </c:pt>
                <c:pt idx="130">
                  <c:v>2.9493265056011945E-3</c:v>
                </c:pt>
                <c:pt idx="131">
                  <c:v>2.9937095431184658E-3</c:v>
                </c:pt>
                <c:pt idx="132">
                  <c:v>3.038432680540082E-3</c:v>
                </c:pt>
                <c:pt idx="133">
                  <c:v>3.0834959178660461E-3</c:v>
                </c:pt>
                <c:pt idx="134">
                  <c:v>3.1288992550963582E-3</c:v>
                </c:pt>
                <c:pt idx="135">
                  <c:v>3.1746426922310165E-3</c:v>
                </c:pt>
                <c:pt idx="136">
                  <c:v>3.2207262292700211E-3</c:v>
                </c:pt>
                <c:pt idx="137">
                  <c:v>3.267149866213374E-3</c:v>
                </c:pt>
                <c:pt idx="138">
                  <c:v>3.3139136030610715E-3</c:v>
                </c:pt>
                <c:pt idx="139">
                  <c:v>3.3610174398131186E-3</c:v>
                </c:pt>
                <c:pt idx="140">
                  <c:v>3.4084613764695103E-3</c:v>
                </c:pt>
                <c:pt idx="141">
                  <c:v>3.4562454130302508E-3</c:v>
                </c:pt>
                <c:pt idx="142">
                  <c:v>3.5043695494953371E-3</c:v>
                </c:pt>
                <c:pt idx="143">
                  <c:v>3.5528337858647717E-3</c:v>
                </c:pt>
                <c:pt idx="144">
                  <c:v>3.6016381221385526E-3</c:v>
                </c:pt>
                <c:pt idx="145">
                  <c:v>3.6507825583166798E-3</c:v>
                </c:pt>
                <c:pt idx="146">
                  <c:v>3.7002670943991531E-3</c:v>
                </c:pt>
                <c:pt idx="147">
                  <c:v>3.7500917303859745E-3</c:v>
                </c:pt>
                <c:pt idx="148">
                  <c:v>3.800256466277142E-3</c:v>
                </c:pt>
                <c:pt idx="149">
                  <c:v>3.8507613020726567E-3</c:v>
                </c:pt>
                <c:pt idx="150">
                  <c:v>3.9016062377725189E-3</c:v>
                </c:pt>
              </c:numCache>
            </c:numRef>
          </c:yVal>
          <c:smooth val="1"/>
          <c:extLst>
            <c:ext xmlns:c16="http://schemas.microsoft.com/office/drawing/2014/chart" uri="{C3380CC4-5D6E-409C-BE32-E72D297353CC}">
              <c16:uniqueId val="{00000003-D428-476F-9D9B-414A5D21B4D3}"/>
            </c:ext>
          </c:extLst>
        </c:ser>
        <c:dLbls>
          <c:showLegendKey val="0"/>
          <c:showVal val="0"/>
          <c:showCatName val="0"/>
          <c:showSerName val="0"/>
          <c:showPercent val="0"/>
          <c:showBubbleSize val="0"/>
        </c:dLbls>
        <c:axId val="162552448"/>
        <c:axId val="162550528"/>
      </c:scatterChart>
      <c:valAx>
        <c:axId val="161084544"/>
        <c:scaling>
          <c:orientation val="minMax"/>
        </c:scaling>
        <c:delete val="0"/>
        <c:axPos val="b"/>
        <c:majorGridlines/>
        <c:numFmt formatCode="General" sourceLinked="1"/>
        <c:majorTickMark val="out"/>
        <c:minorTickMark val="none"/>
        <c:tickLblPos val="nextTo"/>
        <c:crossAx val="161086080"/>
        <c:crosses val="autoZero"/>
        <c:crossBetween val="midCat"/>
      </c:valAx>
      <c:valAx>
        <c:axId val="161086080"/>
        <c:scaling>
          <c:orientation val="minMax"/>
          <c:max val="100"/>
          <c:min val="60"/>
        </c:scaling>
        <c:delete val="0"/>
        <c:axPos val="l"/>
        <c:majorGridlines/>
        <c:title>
          <c:tx>
            <c:rich>
              <a:bodyPr rot="-5400000" vert="horz"/>
              <a:lstStyle/>
              <a:p>
                <a:pPr>
                  <a:defRPr sz="1400"/>
                </a:pPr>
                <a:r>
                  <a:rPr lang="en-US" sz="1400"/>
                  <a:t>Efficiency</a:t>
                </a:r>
                <a:r>
                  <a:rPr lang="en-US" sz="1400" baseline="0"/>
                  <a:t> (%)</a:t>
                </a:r>
                <a:endParaRPr lang="en-US" sz="1400"/>
              </a:p>
            </c:rich>
          </c:tx>
          <c:overlay val="0"/>
        </c:title>
        <c:numFmt formatCode="General" sourceLinked="1"/>
        <c:majorTickMark val="out"/>
        <c:minorTickMark val="none"/>
        <c:tickLblPos val="nextTo"/>
        <c:crossAx val="161084544"/>
        <c:crosses val="autoZero"/>
        <c:crossBetween val="midCat"/>
      </c:valAx>
      <c:valAx>
        <c:axId val="162550528"/>
        <c:scaling>
          <c:orientation val="minMax"/>
        </c:scaling>
        <c:delete val="0"/>
        <c:axPos val="r"/>
        <c:title>
          <c:tx>
            <c:rich>
              <a:bodyPr rot="-5400000" vert="horz"/>
              <a:lstStyle/>
              <a:p>
                <a:pPr>
                  <a:defRPr sz="1400"/>
                </a:pPr>
                <a:r>
                  <a:rPr lang="en-US" sz="1400"/>
                  <a:t>Losses</a:t>
                </a:r>
                <a:r>
                  <a:rPr lang="en-US" sz="1400" baseline="0"/>
                  <a:t> (W)</a:t>
                </a:r>
                <a:endParaRPr lang="en-US" sz="1400"/>
              </a:p>
            </c:rich>
          </c:tx>
          <c:overlay val="0"/>
        </c:title>
        <c:numFmt formatCode="General" sourceLinked="1"/>
        <c:majorTickMark val="out"/>
        <c:minorTickMark val="none"/>
        <c:tickLblPos val="nextTo"/>
        <c:crossAx val="162552448"/>
        <c:crosses val="max"/>
        <c:crossBetween val="midCat"/>
      </c:valAx>
      <c:valAx>
        <c:axId val="162552448"/>
        <c:scaling>
          <c:orientation val="minMax"/>
        </c:scaling>
        <c:delete val="1"/>
        <c:axPos val="b"/>
        <c:title>
          <c:tx>
            <c:rich>
              <a:bodyPr/>
              <a:lstStyle/>
              <a:p>
                <a:pPr>
                  <a:defRPr/>
                </a:pPr>
                <a:r>
                  <a:rPr lang="en-US"/>
                  <a:t>Loac</a:t>
                </a:r>
                <a:r>
                  <a:rPr lang="en-US" baseline="0"/>
                  <a:t> Current (A)</a:t>
                </a:r>
                <a:endParaRPr lang="en-US"/>
              </a:p>
            </c:rich>
          </c:tx>
          <c:overlay val="0"/>
        </c:title>
        <c:numFmt formatCode="General" sourceLinked="1"/>
        <c:majorTickMark val="out"/>
        <c:minorTickMark val="none"/>
        <c:tickLblPos val="nextTo"/>
        <c:crossAx val="162550528"/>
        <c:crosses val="autoZero"/>
        <c:crossBetween val="midCat"/>
      </c:valAx>
    </c:plotArea>
    <c:legend>
      <c:legendPos val="r"/>
      <c:layout>
        <c:manualLayout>
          <c:xMode val="edge"/>
          <c:yMode val="edge"/>
          <c:x val="0.51894403926190358"/>
          <c:y val="6.4862204724409449E-3"/>
          <c:w val="0.39609572935704079"/>
          <c:h val="0.12183653099700564"/>
        </c:manualLayout>
      </c:layout>
      <c:overlay val="1"/>
    </c:legend>
    <c:plotVisOnly val="1"/>
    <c:dispBlanksAs val="gap"/>
    <c:showDLblsOverMax val="0"/>
  </c:chart>
  <c:spPr>
    <a:ln>
      <a:noFill/>
    </a:ln>
  </c:sp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26" fmlaRange="$1:$1048576" noThreeD="1" sel="0" val="0"/>
</file>

<file path=xl/ctrlProps/ctrlProp2.xml><?xml version="1.0" encoding="utf-8"?>
<formControlPr xmlns="http://schemas.microsoft.com/office/spreadsheetml/2009/9/main" objectType="Spin" dx="20" fmlaLink="$H$8" max="45" noThreeD="1" page="10" val="45"/>
</file>

<file path=xl/drawings/_rels/drawing1.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chart" Target="../charts/chart4.xml"/><Relationship Id="rId5" Type="http://schemas.openxmlformats.org/officeDocument/2006/relationships/chart" Target="../charts/chart6.xml"/><Relationship Id="rId4" Type="http://schemas.openxmlformats.org/officeDocument/2006/relationships/chart" Target="../charts/chart5.xml"/></Relationships>
</file>

<file path=xl/drawings/_rels/drawing5.x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7.png"/><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9.emf"/></Relationships>
</file>

<file path=xl/drawings/_rels/drawing8.xml.rels><?xml version="1.0" encoding="UTF-8" standalone="yes"?>
<Relationships xmlns="http://schemas.openxmlformats.org/package/2006/relationships"><Relationship Id="rId3" Type="http://schemas.openxmlformats.org/officeDocument/2006/relationships/hyperlink" Target="http://www.ti.com/corp/docs/legal/copyright.shtml" TargetMode="External"/><Relationship Id="rId2" Type="http://schemas.openxmlformats.org/officeDocument/2006/relationships/image" Target="../media/image11.gif"/><Relationship Id="rId1" Type="http://schemas.openxmlformats.org/officeDocument/2006/relationships/hyperlink" Target="http://www.ti.com" TargetMode="Externa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594360</xdr:colOff>
          <xdr:row>30</xdr:row>
          <xdr:rowOff>83820</xdr:rowOff>
        </xdr:from>
        <xdr:to>
          <xdr:col>16</xdr:col>
          <xdr:colOff>220980</xdr:colOff>
          <xdr:row>31</xdr:row>
          <xdr:rowOff>114300</xdr:rowOff>
        </xdr:to>
        <xdr:sp macro="" textlink="">
          <xdr:nvSpPr>
            <xdr:cNvPr id="1170" name="Drop Down 146" descr="This is just there to fix the excel issue with comments and linked pictures" hidden="1">
              <a:extLst>
                <a:ext uri="{63B3BB69-23CF-44E3-9099-C40C66FF867C}">
                  <a14:compatExt spid="_x0000_s1170"/>
                </a:ext>
                <a:ext uri="{FF2B5EF4-FFF2-40B4-BE49-F238E27FC236}">
                  <a16:creationId xmlns:a16="http://schemas.microsoft.com/office/drawing/2014/main" id="{00000000-0008-0000-0000-00009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xdr:from>
      <xdr:col>9</xdr:col>
      <xdr:colOff>22860</xdr:colOff>
      <xdr:row>50</xdr:row>
      <xdr:rowOff>1</xdr:rowOff>
    </xdr:from>
    <xdr:to>
      <xdr:col>25</xdr:col>
      <xdr:colOff>598714</xdr:colOff>
      <xdr:row>71</xdr:row>
      <xdr:rowOff>175261</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22861</xdr:colOff>
      <xdr:row>74</xdr:row>
      <xdr:rowOff>7620</xdr:rowOff>
    </xdr:from>
    <xdr:to>
      <xdr:col>25</xdr:col>
      <xdr:colOff>600637</xdr:colOff>
      <xdr:row>98</xdr:row>
      <xdr:rowOff>163286</xdr:rowOff>
    </xdr:to>
    <xdr:graphicFrame macro="">
      <xdr:nvGraphicFramePr>
        <xdr:cNvPr id="6" name="Chart 5">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xdr:from>
          <xdr:col>7</xdr:col>
          <xdr:colOff>502920</xdr:colOff>
          <xdr:row>56</xdr:row>
          <xdr:rowOff>0</xdr:rowOff>
        </xdr:from>
        <xdr:to>
          <xdr:col>8</xdr:col>
          <xdr:colOff>7620</xdr:colOff>
          <xdr:row>58</xdr:row>
          <xdr:rowOff>0</xdr:rowOff>
        </xdr:to>
        <xdr:sp macro="" textlink="">
          <xdr:nvSpPr>
            <xdr:cNvPr id="1060" name="Spinner 36" hidden="1">
              <a:extLst>
                <a:ext uri="{63B3BB69-23CF-44E3-9099-C40C66FF867C}">
                  <a14:compatExt spid="_x0000_s1060"/>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14</xdr:col>
      <xdr:colOff>134501</xdr:colOff>
      <xdr:row>49</xdr:row>
      <xdr:rowOff>62752</xdr:rowOff>
    </xdr:from>
    <xdr:to>
      <xdr:col>15</xdr:col>
      <xdr:colOff>484124</xdr:colOff>
      <xdr:row>51</xdr:row>
      <xdr:rowOff>161363</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8326001" y="10338546"/>
          <a:ext cx="943535" cy="54684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a:t>V</a:t>
          </a:r>
          <a:r>
            <a:rPr lang="en-US" sz="2400" baseline="-25000"/>
            <a:t>IN</a:t>
          </a:r>
          <a:r>
            <a:rPr lang="en-US" sz="2400"/>
            <a:t> =</a:t>
          </a:r>
        </a:p>
      </xdr:txBody>
    </xdr:sp>
    <xdr:clientData/>
  </xdr:twoCellAnchor>
  <xdr:twoCellAnchor>
    <xdr:from>
      <xdr:col>15</xdr:col>
      <xdr:colOff>197245</xdr:colOff>
      <xdr:row>49</xdr:row>
      <xdr:rowOff>71718</xdr:rowOff>
    </xdr:from>
    <xdr:to>
      <xdr:col>16</xdr:col>
      <xdr:colOff>528939</xdr:colOff>
      <xdr:row>51</xdr:row>
      <xdr:rowOff>170330</xdr:rowOff>
    </xdr:to>
    <xdr:sp macro="" textlink="VIN_nom">
      <xdr:nvSpPr>
        <xdr:cNvPr id="3" name="TextBox 2">
          <a:extLst>
            <a:ext uri="{FF2B5EF4-FFF2-40B4-BE49-F238E27FC236}">
              <a16:creationId xmlns:a16="http://schemas.microsoft.com/office/drawing/2014/main" id="{00000000-0008-0000-0000-000003000000}"/>
            </a:ext>
          </a:extLst>
        </xdr:cNvPr>
        <xdr:cNvSpPr txBox="1"/>
      </xdr:nvSpPr>
      <xdr:spPr>
        <a:xfrm>
          <a:off x="8955763" y="9538447"/>
          <a:ext cx="941294" cy="49305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8B6E0D9B-34B5-4A81-8CB9-A88F658AFD78}" type="TxLink">
            <a:rPr lang="en-US" sz="2400" b="0" i="0" u="none" strike="noStrike">
              <a:solidFill>
                <a:srgbClr val="000000"/>
              </a:solidFill>
              <a:latin typeface="Calibri"/>
            </a:rPr>
            <a:pPr/>
            <a:t>45</a:t>
          </a:fld>
          <a:endParaRPr lang="en-US" sz="2400"/>
        </a:p>
      </xdr:txBody>
    </xdr:sp>
    <xdr:clientData/>
  </xdr:twoCellAnchor>
  <xdr:twoCellAnchor>
    <xdr:from>
      <xdr:col>15</xdr:col>
      <xdr:colOff>568726</xdr:colOff>
      <xdr:row>49</xdr:row>
      <xdr:rowOff>62752</xdr:rowOff>
    </xdr:from>
    <xdr:to>
      <xdr:col>17</xdr:col>
      <xdr:colOff>318274</xdr:colOff>
      <xdr:row>51</xdr:row>
      <xdr:rowOff>161363</xdr:rowOff>
    </xdr:to>
    <xdr:sp macro="" textlink="">
      <xdr:nvSpPr>
        <xdr:cNvPr id="12" name="TextBox 11">
          <a:extLst>
            <a:ext uri="{FF2B5EF4-FFF2-40B4-BE49-F238E27FC236}">
              <a16:creationId xmlns:a16="http://schemas.microsoft.com/office/drawing/2014/main" id="{00000000-0008-0000-0000-00000C000000}"/>
            </a:ext>
          </a:extLst>
        </xdr:cNvPr>
        <xdr:cNvSpPr txBox="1"/>
      </xdr:nvSpPr>
      <xdr:spPr>
        <a:xfrm>
          <a:off x="9354138" y="10338546"/>
          <a:ext cx="937371" cy="54684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a:t>V</a:t>
          </a:r>
        </a:p>
      </xdr:txBody>
    </xdr:sp>
    <xdr:clientData/>
  </xdr:twoCellAnchor>
  <xdr:twoCellAnchor>
    <xdr:from>
      <xdr:col>11</xdr:col>
      <xdr:colOff>376517</xdr:colOff>
      <xdr:row>74</xdr:row>
      <xdr:rowOff>26894</xdr:rowOff>
    </xdr:from>
    <xdr:to>
      <xdr:col>13</xdr:col>
      <xdr:colOff>116540</xdr:colOff>
      <xdr:row>76</xdr:row>
      <xdr:rowOff>134470</xdr:rowOff>
    </xdr:to>
    <xdr:sp macro="" textlink="">
      <xdr:nvSpPr>
        <xdr:cNvPr id="9" name="TextBox 8">
          <a:extLst>
            <a:ext uri="{FF2B5EF4-FFF2-40B4-BE49-F238E27FC236}">
              <a16:creationId xmlns:a16="http://schemas.microsoft.com/office/drawing/2014/main" id="{00000000-0008-0000-0000-000009000000}"/>
            </a:ext>
          </a:extLst>
        </xdr:cNvPr>
        <xdr:cNvSpPr txBox="1"/>
      </xdr:nvSpPr>
      <xdr:spPr>
        <a:xfrm>
          <a:off x="6696635" y="14379388"/>
          <a:ext cx="959223" cy="4930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a:t>V</a:t>
          </a:r>
          <a:r>
            <a:rPr lang="en-US" sz="2400" baseline="-25000"/>
            <a:t>IN</a:t>
          </a:r>
          <a:r>
            <a:rPr lang="en-US" sz="2400"/>
            <a:t> =</a:t>
          </a:r>
        </a:p>
      </xdr:txBody>
    </xdr:sp>
    <xdr:clientData/>
  </xdr:twoCellAnchor>
  <xdr:twoCellAnchor>
    <xdr:from>
      <xdr:col>12</xdr:col>
      <xdr:colOff>439261</xdr:colOff>
      <xdr:row>74</xdr:row>
      <xdr:rowOff>35860</xdr:rowOff>
    </xdr:from>
    <xdr:to>
      <xdr:col>14</xdr:col>
      <xdr:colOff>161355</xdr:colOff>
      <xdr:row>76</xdr:row>
      <xdr:rowOff>143437</xdr:rowOff>
    </xdr:to>
    <xdr:sp macro="" textlink="VIN_nom">
      <xdr:nvSpPr>
        <xdr:cNvPr id="10" name="TextBox 9">
          <a:extLst>
            <a:ext uri="{FF2B5EF4-FFF2-40B4-BE49-F238E27FC236}">
              <a16:creationId xmlns:a16="http://schemas.microsoft.com/office/drawing/2014/main" id="{00000000-0008-0000-0000-00000A000000}"/>
            </a:ext>
          </a:extLst>
        </xdr:cNvPr>
        <xdr:cNvSpPr txBox="1"/>
      </xdr:nvSpPr>
      <xdr:spPr>
        <a:xfrm>
          <a:off x="7368979" y="14388354"/>
          <a:ext cx="941294" cy="49305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8B6E0D9B-34B5-4A81-8CB9-A88F658AFD78}" type="TxLink">
            <a:rPr lang="en-US" sz="2400" b="0" i="0" u="none" strike="noStrike">
              <a:solidFill>
                <a:srgbClr val="000000"/>
              </a:solidFill>
              <a:latin typeface="Calibri"/>
            </a:rPr>
            <a:pPr/>
            <a:t>45</a:t>
          </a:fld>
          <a:endParaRPr lang="en-US" sz="2400"/>
        </a:p>
      </xdr:txBody>
    </xdr:sp>
    <xdr:clientData/>
  </xdr:twoCellAnchor>
  <xdr:twoCellAnchor>
    <xdr:from>
      <xdr:col>13</xdr:col>
      <xdr:colOff>233079</xdr:colOff>
      <xdr:row>74</xdr:row>
      <xdr:rowOff>26894</xdr:rowOff>
    </xdr:from>
    <xdr:to>
      <xdr:col>14</xdr:col>
      <xdr:colOff>582702</xdr:colOff>
      <xdr:row>76</xdr:row>
      <xdr:rowOff>134470</xdr:rowOff>
    </xdr:to>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7772397" y="14379388"/>
          <a:ext cx="959223" cy="4930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a:t>V</a:t>
          </a:r>
        </a:p>
      </xdr:txBody>
    </xdr:sp>
    <xdr:clientData/>
  </xdr:twoCellAnchor>
  <xdr:twoCellAnchor>
    <xdr:from>
      <xdr:col>11</xdr:col>
      <xdr:colOff>99097</xdr:colOff>
      <xdr:row>67</xdr:row>
      <xdr:rowOff>155530</xdr:rowOff>
    </xdr:from>
    <xdr:to>
      <xdr:col>13</xdr:col>
      <xdr:colOff>150962</xdr:colOff>
      <xdr:row>68</xdr:row>
      <xdr:rowOff>132991</xdr:rowOff>
    </xdr:to>
    <xdr:sp macro="" textlink="Loop_Modeling!A69">
      <xdr:nvSpPr>
        <xdr:cNvPr id="14" name="TextBox 13">
          <a:extLst>
            <a:ext uri="{FF2B5EF4-FFF2-40B4-BE49-F238E27FC236}">
              <a16:creationId xmlns:a16="http://schemas.microsoft.com/office/drawing/2014/main" id="{00000000-0008-0000-0000-00000E000000}"/>
            </a:ext>
          </a:extLst>
        </xdr:cNvPr>
        <xdr:cNvSpPr txBox="1"/>
      </xdr:nvSpPr>
      <xdr:spPr>
        <a:xfrm>
          <a:off x="6475455" y="14328011"/>
          <a:ext cx="1230809" cy="1787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96E2E744-8A5D-4458-A426-E4363EDE50C7}" type="TxLink">
            <a:rPr lang="en-US" sz="1100" b="1" i="0" u="none" strike="noStrike">
              <a:solidFill>
                <a:schemeClr val="accent1">
                  <a:lumMod val="75000"/>
                </a:schemeClr>
              </a:solidFill>
              <a:latin typeface="Calibri"/>
              <a:cs typeface="Calibri"/>
            </a:rPr>
            <a:pPr/>
            <a:t>Phase Margin = 76°</a:t>
          </a:fld>
          <a:endParaRPr lang="en-US" sz="2400" b="1">
            <a:solidFill>
              <a:schemeClr val="accent1">
                <a:lumMod val="75000"/>
              </a:schemeClr>
            </a:solidFill>
          </a:endParaRPr>
        </a:p>
      </xdr:txBody>
    </xdr:sp>
    <xdr:clientData/>
  </xdr:twoCellAnchor>
  <xdr:twoCellAnchor>
    <xdr:from>
      <xdr:col>11</xdr:col>
      <xdr:colOff>98632</xdr:colOff>
      <xdr:row>66</xdr:row>
      <xdr:rowOff>109818</xdr:rowOff>
    </xdr:from>
    <xdr:to>
      <xdr:col>15</xdr:col>
      <xdr:colOff>224116</xdr:colOff>
      <xdr:row>67</xdr:row>
      <xdr:rowOff>123265</xdr:rowOff>
    </xdr:to>
    <xdr:sp macro="" textlink="Loop_Modeling!A68">
      <xdr:nvSpPr>
        <xdr:cNvPr id="15" name="TextBox 14">
          <a:extLst>
            <a:ext uri="{FF2B5EF4-FFF2-40B4-BE49-F238E27FC236}">
              <a16:creationId xmlns:a16="http://schemas.microsoft.com/office/drawing/2014/main" id="{00000000-0008-0000-0000-00000F000000}"/>
            </a:ext>
          </a:extLst>
        </xdr:cNvPr>
        <xdr:cNvSpPr txBox="1"/>
      </xdr:nvSpPr>
      <xdr:spPr>
        <a:xfrm>
          <a:off x="6508397" y="13982700"/>
          <a:ext cx="2501131" cy="2039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EF506B42-A944-4597-8E98-BD1D41977E0E}" type="TxLink">
            <a:rPr lang="en-US" sz="1100" b="1" i="0" u="none" strike="noStrike">
              <a:solidFill>
                <a:srgbClr val="C00000"/>
              </a:solidFill>
              <a:latin typeface="+mn-lt"/>
              <a:cs typeface="Arial" panose="020B0604020202020204" pitchFamily="34" charset="0"/>
            </a:rPr>
            <a:pPr/>
            <a:t>Crossover Frequency = 2.4 kHz</a:t>
          </a:fld>
          <a:endParaRPr lang="en-US" sz="2400" b="1">
            <a:solidFill>
              <a:srgbClr val="C00000"/>
            </a:solidFill>
            <a:latin typeface="+mn-lt"/>
            <a:cs typeface="Arial" panose="020B0604020202020204"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10</xdr:col>
          <xdr:colOff>18648</xdr:colOff>
          <xdr:row>6</xdr:row>
          <xdr:rowOff>9525</xdr:rowOff>
        </xdr:from>
        <xdr:to>
          <xdr:col>25</xdr:col>
          <xdr:colOff>417820</xdr:colOff>
          <xdr:row>36</xdr:row>
          <xdr:rowOff>167640</xdr:rowOff>
        </xdr:to>
        <xdr:pic>
          <xdr:nvPicPr>
            <xdr:cNvPr id="18" name="Picture 17">
              <a:extLst>
                <a:ext uri="{FF2B5EF4-FFF2-40B4-BE49-F238E27FC236}">
                  <a16:creationId xmlns:a16="http://schemas.microsoft.com/office/drawing/2014/main" id="{00000000-0008-0000-0000-000012000000}"/>
                </a:ext>
              </a:extLst>
            </xdr:cNvPr>
            <xdr:cNvPicPr>
              <a:picLocks noChangeAspect="1"/>
              <a:extLst>
                <a:ext uri="{84589F7E-364E-4C9E-8A38-B11213B215E9}">
                  <a14:cameraTool cellRange="display_SCH" spid="_x0000_s1291"/>
                </a:ext>
              </a:extLst>
            </xdr:cNvPicPr>
          </xdr:nvPicPr>
          <xdr:blipFill rotWithShape="1">
            <a:blip xmlns:r="http://schemas.openxmlformats.org/officeDocument/2006/relationships" r:embed="rId3"/>
            <a:srcRect/>
            <a:stretch>
              <a:fillRect/>
            </a:stretch>
          </xdr:blipFill>
          <xdr:spPr>
            <a:xfrm>
              <a:off x="5834501" y="1567143"/>
              <a:ext cx="9195790" cy="6116058"/>
            </a:xfrm>
            <a:prstGeom prst="rect">
              <a:avLst/>
            </a:prstGeom>
            <a:solidFill>
              <a:schemeClr val="bg1"/>
            </a:solidFill>
          </xdr:spPr>
        </xdr:pic>
        <xdr:clientData/>
      </xdr:twoCellAnchor>
    </mc:Choice>
    <mc:Fallback/>
  </mc:AlternateContent>
  <xdr:twoCellAnchor>
    <xdr:from>
      <xdr:col>14</xdr:col>
      <xdr:colOff>333375</xdr:colOff>
      <xdr:row>16</xdr:row>
      <xdr:rowOff>85724</xdr:rowOff>
    </xdr:from>
    <xdr:to>
      <xdr:col>16</xdr:col>
      <xdr:colOff>428625</xdr:colOff>
      <xdr:row>18</xdr:row>
      <xdr:rowOff>57149</xdr:rowOff>
    </xdr:to>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8486775" y="3543299"/>
          <a:ext cx="1276350" cy="3714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0">
              <a:latin typeface="Arial" panose="020B0604020202020204" pitchFamily="34" charset="0"/>
              <a:cs typeface="Arial" panose="020B0604020202020204" pitchFamily="34" charset="0"/>
            </a:rPr>
            <a:t>LM5155/56</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851647</xdr:colOff>
      <xdr:row>215</xdr:row>
      <xdr:rowOff>170330</xdr:rowOff>
    </xdr:from>
    <xdr:to>
      <xdr:col>14</xdr:col>
      <xdr:colOff>484094</xdr:colOff>
      <xdr:row>223</xdr:row>
      <xdr:rowOff>71719</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9807388" y="26544495"/>
          <a:ext cx="3541059" cy="13357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Need to explain the placement of the Zero</a:t>
          </a:r>
          <a:r>
            <a:rPr lang="en-US" sz="1100" baseline="0"/>
            <a:t> a little bit better. The pole location should also be based on the location of the zero</a:t>
          </a:r>
          <a:endParaRPr lang="en-US" sz="1100"/>
        </a:p>
      </xdr:txBody>
    </xdr:sp>
    <xdr:clientData/>
  </xdr:twoCellAnchor>
  <mc:AlternateContent xmlns:mc="http://schemas.openxmlformats.org/markup-compatibility/2006">
    <mc:Choice xmlns:a14="http://schemas.microsoft.com/office/drawing/2010/main" Requires="a14">
      <xdr:twoCellAnchor editAs="oneCell">
        <xdr:from>
          <xdr:col>8</xdr:col>
          <xdr:colOff>60960</xdr:colOff>
          <xdr:row>154</xdr:row>
          <xdr:rowOff>137160</xdr:rowOff>
        </xdr:from>
        <xdr:to>
          <xdr:col>12</xdr:col>
          <xdr:colOff>388620</xdr:colOff>
          <xdr:row>157</xdr:row>
          <xdr:rowOff>22860</xdr:rowOff>
        </xdr:to>
        <xdr:sp macro="" textlink="">
          <xdr:nvSpPr>
            <xdr:cNvPr id="2053" name="Object 5" hidden="1">
              <a:extLst>
                <a:ext uri="{63B3BB69-23CF-44E3-9099-C40C66FF867C}">
                  <a14:compatExt spid="_x0000_s2053"/>
                </a:ext>
                <a:ext uri="{FF2B5EF4-FFF2-40B4-BE49-F238E27FC236}">
                  <a16:creationId xmlns:a16="http://schemas.microsoft.com/office/drawing/2014/main" id="{00000000-0008-0000-0100-000005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8</xdr:col>
      <xdr:colOff>842683</xdr:colOff>
      <xdr:row>186</xdr:row>
      <xdr:rowOff>17930</xdr:rowOff>
    </xdr:from>
    <xdr:to>
      <xdr:col>14</xdr:col>
      <xdr:colOff>475130</xdr:colOff>
      <xdr:row>195</xdr:row>
      <xdr:rowOff>98613</xdr:rowOff>
    </xdr:to>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9798424" y="23523389"/>
          <a:ext cx="3541059" cy="13357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Loop</a:t>
          </a:r>
          <a:r>
            <a:rPr lang="en-US" sz="1100" baseline="0"/>
            <a:t> compensation is calculated for the minimum input voltage. This ensure stability over the input voltage range</a:t>
          </a:r>
          <a:endParaRPr lang="en-US" sz="1100"/>
        </a:p>
      </xdr:txBody>
    </xdr:sp>
    <xdr:clientData/>
  </xdr:twoCellAnchor>
  <xdr:twoCellAnchor>
    <xdr:from>
      <xdr:col>14</xdr:col>
      <xdr:colOff>11205</xdr:colOff>
      <xdr:row>33</xdr:row>
      <xdr:rowOff>100853</xdr:rowOff>
    </xdr:from>
    <xdr:to>
      <xdr:col>18</xdr:col>
      <xdr:colOff>582705</xdr:colOff>
      <xdr:row>38</xdr:row>
      <xdr:rowOff>78441</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12920381" y="6555441"/>
          <a:ext cx="2991971" cy="9300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If</a:t>
          </a:r>
          <a:r>
            <a:rPr lang="en-US" sz="1100" baseline="0"/>
            <a:t> Lm is </a:t>
          </a:r>
        </a:p>
        <a:p>
          <a:r>
            <a:rPr lang="en-US" sz="1100" baseline="0"/>
            <a:t>lower then each of them -&gt; CCM</a:t>
          </a:r>
        </a:p>
        <a:p>
          <a:r>
            <a:rPr lang="en-US" sz="1100" baseline="0"/>
            <a:t>Higher </a:t>
          </a:r>
          <a:r>
            <a:rPr lang="en-US" sz="1100" baseline="0">
              <a:solidFill>
                <a:schemeClr val="dk1"/>
              </a:solidFill>
              <a:effectLst/>
              <a:latin typeface="+mn-lt"/>
              <a:ea typeface="+mn-ea"/>
              <a:cs typeface="+mn-cs"/>
            </a:rPr>
            <a:t>lower then each of them </a:t>
          </a:r>
          <a:r>
            <a:rPr lang="en-US" sz="1100" baseline="0"/>
            <a:t> -&gt; DCM</a:t>
          </a:r>
        </a:p>
        <a:p>
          <a:r>
            <a:rPr lang="en-US" sz="1100" baseline="0"/>
            <a:t>else CCM and DCM </a:t>
          </a:r>
          <a:endParaRPr lang="en-US" sz="1100"/>
        </a:p>
      </xdr:txBody>
    </xdr:sp>
    <xdr:clientData/>
  </xdr:twoCellAnchor>
  <xdr:twoCellAnchor>
    <xdr:from>
      <xdr:col>13</xdr:col>
      <xdr:colOff>268941</xdr:colOff>
      <xdr:row>23</xdr:row>
      <xdr:rowOff>112059</xdr:rowOff>
    </xdr:from>
    <xdr:to>
      <xdr:col>16</xdr:col>
      <xdr:colOff>571500</xdr:colOff>
      <xdr:row>28</xdr:row>
      <xdr:rowOff>168088</xdr:rowOff>
    </xdr:to>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12920382" y="4661647"/>
          <a:ext cx="2330824" cy="1008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Check</a:t>
          </a:r>
          <a:r>
            <a:rPr lang="en-US" sz="1100" baseline="0"/>
            <a:t> if DC for DCM would be less the DC for CCM -&gt; in this case it would run in DCM mode</a:t>
          </a:r>
        </a:p>
        <a:p>
          <a:r>
            <a:rPr lang="en-US" sz="1100" baseline="0"/>
            <a:t>Check if at the 3 points CCM or DCM would be used</a:t>
          </a:r>
        </a:p>
        <a:p>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21</xdr:col>
      <xdr:colOff>528917</xdr:colOff>
      <xdr:row>67</xdr:row>
      <xdr:rowOff>89006</xdr:rowOff>
    </xdr:from>
    <xdr:to>
      <xdr:col>30</xdr:col>
      <xdr:colOff>79513</xdr:colOff>
      <xdr:row>86</xdr:row>
      <xdr:rowOff>92765</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14</xdr:col>
      <xdr:colOff>1051560</xdr:colOff>
      <xdr:row>49</xdr:row>
      <xdr:rowOff>45720</xdr:rowOff>
    </xdr:from>
    <xdr:to>
      <xdr:col>25</xdr:col>
      <xdr:colOff>563880</xdr:colOff>
      <xdr:row>73</xdr:row>
      <xdr:rowOff>19050</xdr:rowOff>
    </xdr:to>
    <xdr:graphicFrame macro="">
      <xdr:nvGraphicFramePr>
        <xdr:cNvPr id="4" name="Chart 3">
          <a:extLst>
            <a:ext uri="{FF2B5EF4-FFF2-40B4-BE49-F238E27FC236}">
              <a16:creationId xmlns:a16="http://schemas.microsoft.com/office/drawing/2014/main" id="{00000000-0008-0000-0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32</xdr:col>
      <xdr:colOff>186690</xdr:colOff>
      <xdr:row>39</xdr:row>
      <xdr:rowOff>167640</xdr:rowOff>
    </xdr:from>
    <xdr:to>
      <xdr:col>34</xdr:col>
      <xdr:colOff>530487</xdr:colOff>
      <xdr:row>45</xdr:row>
      <xdr:rowOff>56599</xdr:rowOff>
    </xdr:to>
    <xdr:pic>
      <xdr:nvPicPr>
        <xdr:cNvPr id="7" name="Picture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2"/>
        <a:stretch>
          <a:fillRect/>
        </a:stretch>
      </xdr:blipFill>
      <xdr:spPr>
        <a:xfrm>
          <a:off x="21541740" y="5482590"/>
          <a:ext cx="1840230" cy="1045293"/>
        </a:xfrm>
        <a:prstGeom prst="rect">
          <a:avLst/>
        </a:prstGeom>
      </xdr:spPr>
    </xdr:pic>
    <xdr:clientData/>
  </xdr:twoCellAnchor>
  <xdr:twoCellAnchor editAs="oneCell">
    <xdr:from>
      <xdr:col>34</xdr:col>
      <xdr:colOff>247650</xdr:colOff>
      <xdr:row>40</xdr:row>
      <xdr:rowOff>60960</xdr:rowOff>
    </xdr:from>
    <xdr:to>
      <xdr:col>38</xdr:col>
      <xdr:colOff>567929</xdr:colOff>
      <xdr:row>44</xdr:row>
      <xdr:rowOff>148662</xdr:rowOff>
    </xdr:to>
    <xdr:pic>
      <xdr:nvPicPr>
        <xdr:cNvPr id="8" name="Picture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3"/>
        <a:stretch>
          <a:fillRect/>
        </a:stretch>
      </xdr:blipFill>
      <xdr:spPr>
        <a:xfrm>
          <a:off x="23888700" y="5566410"/>
          <a:ext cx="2758679" cy="830649"/>
        </a:xfrm>
        <a:prstGeom prst="rect">
          <a:avLst/>
        </a:prstGeom>
      </xdr:spPr>
    </xdr:pic>
    <xdr:clientData/>
  </xdr:twoCellAnchor>
  <xdr:twoCellAnchor>
    <xdr:from>
      <xdr:col>31</xdr:col>
      <xdr:colOff>30480</xdr:colOff>
      <xdr:row>49</xdr:row>
      <xdr:rowOff>64770</xdr:rowOff>
    </xdr:from>
    <xdr:to>
      <xdr:col>42</xdr:col>
      <xdr:colOff>144780</xdr:colOff>
      <xdr:row>73</xdr:row>
      <xdr:rowOff>38100</xdr:rowOff>
    </xdr:to>
    <xdr:graphicFrame macro="">
      <xdr:nvGraphicFramePr>
        <xdr:cNvPr id="9" name="Chart 8">
          <a:extLst>
            <a:ext uri="{FF2B5EF4-FFF2-40B4-BE49-F238E27FC236}">
              <a16:creationId xmlns:a16="http://schemas.microsoft.com/office/drawing/2014/main"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317182</xdr:colOff>
      <xdr:row>23</xdr:row>
      <xdr:rowOff>62388</xdr:rowOff>
    </xdr:from>
    <xdr:to>
      <xdr:col>24</xdr:col>
      <xdr:colOff>450532</xdr:colOff>
      <xdr:row>47</xdr:row>
      <xdr:rowOff>20478</xdr:rowOff>
    </xdr:to>
    <xdr:graphicFrame macro="">
      <xdr:nvGraphicFramePr>
        <xdr:cNvPr id="10" name="Chart 9">
          <a:extLst>
            <a:ext uri="{FF2B5EF4-FFF2-40B4-BE49-F238E27FC236}">
              <a16:creationId xmlns:a16="http://schemas.microsoft.com/office/drawing/2014/main" id="{00000000-0008-0000-0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8325</xdr:colOff>
      <xdr:row>38</xdr:row>
      <xdr:rowOff>8964</xdr:rowOff>
    </xdr:from>
    <xdr:to>
      <xdr:col>11</xdr:col>
      <xdr:colOff>591031</xdr:colOff>
      <xdr:row>46</xdr:row>
      <xdr:rowOff>131269</xdr:rowOff>
    </xdr:to>
    <xdr:sp macro="" textlink="">
      <xdr:nvSpPr>
        <xdr:cNvPr id="11" name="TextBox 10">
          <a:extLst>
            <a:ext uri="{FF2B5EF4-FFF2-40B4-BE49-F238E27FC236}">
              <a16:creationId xmlns:a16="http://schemas.microsoft.com/office/drawing/2014/main" id="{00000000-0008-0000-0300-00000B000000}"/>
            </a:ext>
          </a:extLst>
        </xdr:cNvPr>
        <xdr:cNvSpPr txBox="1"/>
      </xdr:nvSpPr>
      <xdr:spPr>
        <a:xfrm>
          <a:off x="6187669" y="7533714"/>
          <a:ext cx="2571050" cy="16463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Add points</a:t>
          </a:r>
          <a:r>
            <a:rPr lang="en-US" sz="1100" baseline="0"/>
            <a:t> later to show where the pole and zerDc_Mode_Loopos of the loops are at. Similar to the LM5175 QS</a:t>
          </a:r>
        </a:p>
        <a:p>
          <a:endParaRPr lang="en-US" sz="1100" baseline="0"/>
        </a:p>
        <a:p>
          <a:r>
            <a:rPr lang="en-US" sz="1100" baseline="0"/>
            <a:t>Should also update to the more accurate equation of the DC gain. See Mathcad and Sheehan paper.</a:t>
          </a:r>
          <a:endParaRPr lang="en-US" sz="1100"/>
        </a:p>
      </xdr:txBody>
    </xdr:sp>
    <xdr:clientData/>
  </xdr:twoCellAnchor>
  <xdr:twoCellAnchor>
    <xdr:from>
      <xdr:col>8</xdr:col>
      <xdr:colOff>0</xdr:colOff>
      <xdr:row>52</xdr:row>
      <xdr:rowOff>13855</xdr:rowOff>
    </xdr:from>
    <xdr:to>
      <xdr:col>12</xdr:col>
      <xdr:colOff>83127</xdr:colOff>
      <xdr:row>63</xdr:row>
      <xdr:rowOff>13855</xdr:rowOff>
    </xdr:to>
    <xdr:sp macro="" textlink="">
      <xdr:nvSpPr>
        <xdr:cNvPr id="12" name="TextBox 11">
          <a:extLst>
            <a:ext uri="{FF2B5EF4-FFF2-40B4-BE49-F238E27FC236}">
              <a16:creationId xmlns:a16="http://schemas.microsoft.com/office/drawing/2014/main" id="{00000000-0008-0000-0300-00000C000000}"/>
            </a:ext>
          </a:extLst>
        </xdr:cNvPr>
        <xdr:cNvSpPr txBox="1"/>
      </xdr:nvSpPr>
      <xdr:spPr>
        <a:xfrm>
          <a:off x="6276109" y="8936182"/>
          <a:ext cx="2521527" cy="1981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Next</a:t>
          </a:r>
          <a:r>
            <a:rPr lang="en-US" sz="1100" baseline="0"/>
            <a:t> Revision additions</a:t>
          </a:r>
        </a:p>
        <a:p>
          <a:r>
            <a:rPr lang="en-US" sz="1100" baseline="0"/>
            <a:t>- Add the effect of the EA output resistance and capacitance</a:t>
          </a:r>
        </a:p>
      </xdr:txBody>
    </xdr:sp>
    <xdr:clientData/>
  </xdr:twoCellAnchor>
  <xdr:twoCellAnchor>
    <xdr:from>
      <xdr:col>8</xdr:col>
      <xdr:colOff>291694</xdr:colOff>
      <xdr:row>12</xdr:row>
      <xdr:rowOff>113739</xdr:rowOff>
    </xdr:from>
    <xdr:to>
      <xdr:col>12</xdr:col>
      <xdr:colOff>267182</xdr:colOff>
      <xdr:row>20</xdr:row>
      <xdr:rowOff>188419</xdr:rowOff>
    </xdr:to>
    <xdr:sp macro="" textlink="">
      <xdr:nvSpPr>
        <xdr:cNvPr id="13" name="TextBox 12">
          <a:extLst>
            <a:ext uri="{FF2B5EF4-FFF2-40B4-BE49-F238E27FC236}">
              <a16:creationId xmlns:a16="http://schemas.microsoft.com/office/drawing/2014/main" id="{00000000-0008-0000-0300-00000D000000}"/>
            </a:ext>
          </a:extLst>
        </xdr:cNvPr>
        <xdr:cNvSpPr txBox="1"/>
      </xdr:nvSpPr>
      <xdr:spPr>
        <a:xfrm>
          <a:off x="6471038" y="2637864"/>
          <a:ext cx="2571050" cy="16463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Duty Cycle</a:t>
          </a:r>
          <a:r>
            <a:rPr lang="en-US" sz="1100" baseline="0"/>
            <a:t> mode for </a:t>
          </a:r>
          <a:r>
            <a:rPr lang="en-US" sz="1100"/>
            <a:t>Loop Comenstation is fixed to</a:t>
          </a:r>
          <a:r>
            <a:rPr lang="en-US" sz="1100" baseline="0"/>
            <a:t> CCM as it stable in DCM when stable in CCM but if required could be also set to selected mode on variable Management page</a:t>
          </a: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548640</xdr:colOff>
      <xdr:row>8</xdr:row>
      <xdr:rowOff>0</xdr:rowOff>
    </xdr:from>
    <xdr:to>
      <xdr:col>12</xdr:col>
      <xdr:colOff>449580</xdr:colOff>
      <xdr:row>10</xdr:row>
      <xdr:rowOff>123546</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7269480" y="1638300"/>
          <a:ext cx="2948940" cy="489306"/>
        </a:xfrm>
        <a:prstGeom prst="rect">
          <a:avLst/>
        </a:prstGeom>
      </xdr:spPr>
    </xdr:pic>
    <xdr:clientData/>
  </xdr:twoCellAnchor>
  <xdr:twoCellAnchor editAs="oneCell">
    <xdr:from>
      <xdr:col>8</xdr:col>
      <xdr:colOff>7620</xdr:colOff>
      <xdr:row>12</xdr:row>
      <xdr:rowOff>132742</xdr:rowOff>
    </xdr:from>
    <xdr:to>
      <xdr:col>13</xdr:col>
      <xdr:colOff>350520</xdr:colOff>
      <xdr:row>16</xdr:row>
      <xdr:rowOff>76286</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7338060" y="2502562"/>
          <a:ext cx="3390900" cy="675064"/>
        </a:xfrm>
        <a:prstGeom prst="rect">
          <a:avLst/>
        </a:prstGeom>
      </xdr:spPr>
    </xdr:pic>
    <xdr:clientData/>
  </xdr:twoCellAnchor>
  <xdr:twoCellAnchor editAs="oneCell">
    <xdr:from>
      <xdr:col>9</xdr:col>
      <xdr:colOff>129540</xdr:colOff>
      <xdr:row>22</xdr:row>
      <xdr:rowOff>0</xdr:rowOff>
    </xdr:from>
    <xdr:to>
      <xdr:col>13</xdr:col>
      <xdr:colOff>76200</xdr:colOff>
      <xdr:row>30</xdr:row>
      <xdr:rowOff>45370</xdr:rowOff>
    </xdr:to>
    <xdr:pic>
      <xdr:nvPicPr>
        <xdr:cNvPr id="4" name="Picture 3">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69580" y="4198620"/>
          <a:ext cx="2385060" cy="1523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0</xdr:colOff>
      <xdr:row>2</xdr:row>
      <xdr:rowOff>0</xdr:rowOff>
    </xdr:from>
    <xdr:to>
      <xdr:col>3</xdr:col>
      <xdr:colOff>9157</xdr:colOff>
      <xdr:row>3</xdr:row>
      <xdr:rowOff>0</xdr:rowOff>
    </xdr:to>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609599</xdr:colOff>
      <xdr:row>1</xdr:row>
      <xdr:rowOff>0</xdr:rowOff>
    </xdr:from>
    <xdr:to>
      <xdr:col>1</xdr:col>
      <xdr:colOff>5057640</xdr:colOff>
      <xdr:row>1</xdr:row>
      <xdr:rowOff>2762250</xdr:rowOff>
    </xdr:to>
    <xdr:pic>
      <xdr:nvPicPr>
        <xdr:cNvPr id="7" name="Picture 6">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599" y="190500"/>
          <a:ext cx="5057641" cy="2762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609599</xdr:colOff>
      <xdr:row>3</xdr:row>
      <xdr:rowOff>0</xdr:rowOff>
    </xdr:from>
    <xdr:to>
      <xdr:col>1</xdr:col>
      <xdr:colOff>5057640</xdr:colOff>
      <xdr:row>3</xdr:row>
      <xdr:rowOff>2762250</xdr:rowOff>
    </xdr:to>
    <xdr:pic>
      <xdr:nvPicPr>
        <xdr:cNvPr id="8" name="Picture 7">
          <a:extLst>
            <a:ext uri="{FF2B5EF4-FFF2-40B4-BE49-F238E27FC236}">
              <a16:creationId xmlns:a16="http://schemas.microsoft.com/office/drawing/2014/main" id="{00000000-0008-0000-06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599" y="3771900"/>
          <a:ext cx="5057641" cy="2762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152400</xdr:rowOff>
    </xdr:from>
    <xdr:to>
      <xdr:col>1</xdr:col>
      <xdr:colOff>592455</xdr:colOff>
      <xdr:row>2</xdr:row>
      <xdr:rowOff>93296</xdr:rowOff>
    </xdr:to>
    <xdr:pic>
      <xdr:nvPicPr>
        <xdr:cNvPr id="2" name="Picture 1" descr="ti logo">
          <a:hlinkClick xmlns:r="http://schemas.openxmlformats.org/officeDocument/2006/relationships" r:id="rId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52400"/>
          <a:ext cx="2314575" cy="2952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200025</xdr:colOff>
      <xdr:row>0</xdr:row>
      <xdr:rowOff>114300</xdr:rowOff>
    </xdr:from>
    <xdr:ext cx="3752850" cy="381708"/>
    <xdr:sp macro="" textlink="">
      <xdr:nvSpPr>
        <xdr:cNvPr id="3" name="TextBox 2">
          <a:extLst>
            <a:ext uri="{FF2B5EF4-FFF2-40B4-BE49-F238E27FC236}">
              <a16:creationId xmlns:a16="http://schemas.microsoft.com/office/drawing/2014/main" id="{00000000-0008-0000-0800-000003000000}"/>
            </a:ext>
          </a:extLst>
        </xdr:cNvPr>
        <xdr:cNvSpPr txBox="1"/>
      </xdr:nvSpPr>
      <xdr:spPr>
        <a:xfrm>
          <a:off x="1914525" y="114300"/>
          <a:ext cx="3752850" cy="38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600">
              <a:latin typeface="Arial Black" panose="020B0A04020102020204" pitchFamily="34" charset="0"/>
            </a:rPr>
            <a:t>About this tool...</a:t>
          </a:r>
        </a:p>
      </xdr:txBody>
    </xdr:sp>
    <xdr:clientData/>
  </xdr:oneCellAnchor>
  <xdr:oneCellAnchor>
    <xdr:from>
      <xdr:col>3</xdr:col>
      <xdr:colOff>323850</xdr:colOff>
      <xdr:row>1</xdr:row>
      <xdr:rowOff>28575</xdr:rowOff>
    </xdr:from>
    <xdr:ext cx="4719497" cy="254557"/>
    <xdr:sp macro="" textlink="">
      <xdr:nvSpPr>
        <xdr:cNvPr id="4" name="TextBox 3">
          <a:hlinkClick xmlns:r="http://schemas.openxmlformats.org/officeDocument/2006/relationships" r:id="rId3"/>
          <a:extLst>
            <a:ext uri="{FF2B5EF4-FFF2-40B4-BE49-F238E27FC236}">
              <a16:creationId xmlns:a16="http://schemas.microsoft.com/office/drawing/2014/main" id="{00000000-0008-0000-0800-000004000000}"/>
            </a:ext>
          </a:extLst>
        </xdr:cNvPr>
        <xdr:cNvSpPr txBox="1"/>
      </xdr:nvSpPr>
      <xdr:spPr>
        <a:xfrm>
          <a:off x="6419850" y="209550"/>
          <a:ext cx="4719497"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0" i="0" u="none" strike="noStrike">
              <a:solidFill>
                <a:schemeClr val="tx1"/>
              </a:solidFill>
              <a:effectLst/>
              <a:latin typeface="Arial" panose="020B0604020202020204" pitchFamily="34" charset="0"/>
              <a:ea typeface="+mn-ea"/>
              <a:cs typeface="Arial" panose="020B0604020202020204" pitchFamily="34" charset="0"/>
              <a:hlinkClick xmlns:r="http://schemas.openxmlformats.org/officeDocument/2006/relationships" r:id=""/>
            </a:rPr>
            <a:t>© Copyright 2021</a:t>
          </a:r>
          <a:r>
            <a:rPr lang="en-US" sz="1100" b="0" i="0">
              <a:solidFill>
                <a:schemeClr val="tx1"/>
              </a:solidFill>
              <a:effectLst/>
              <a:latin typeface="Arial" panose="020B0604020202020204" pitchFamily="34" charset="0"/>
              <a:ea typeface="+mn-ea"/>
              <a:cs typeface="Arial" panose="020B0604020202020204" pitchFamily="34" charset="0"/>
            </a:rPr>
            <a:t> Texas Instruments Incorporated. All rights reserved.</a:t>
          </a:r>
          <a:endParaRPr lang="en-US" sz="1100" b="0">
            <a:latin typeface="Arial" panose="020B0604020202020204" pitchFamily="34" charset="0"/>
            <a:cs typeface="Arial" panose="020B0604020202020204" pitchFamily="34" charset="0"/>
          </a:endParaRPr>
        </a:p>
      </xdr:txBody>
    </xdr:sp>
    <xdr:clientData/>
  </xdr:oneCellAnchor>
  <xdr:oneCellAnchor>
    <xdr:from>
      <xdr:col>0</xdr:col>
      <xdr:colOff>95247</xdr:colOff>
      <xdr:row>6</xdr:row>
      <xdr:rowOff>47623</xdr:rowOff>
    </xdr:from>
    <xdr:ext cx="11229977" cy="4086227"/>
    <xdr:sp macro="" textlink="">
      <xdr:nvSpPr>
        <xdr:cNvPr id="5" name="TextBox 4">
          <a:extLst>
            <a:ext uri="{FF2B5EF4-FFF2-40B4-BE49-F238E27FC236}">
              <a16:creationId xmlns:a16="http://schemas.microsoft.com/office/drawing/2014/main" id="{00000000-0008-0000-0800-000005000000}"/>
            </a:ext>
          </a:extLst>
        </xdr:cNvPr>
        <xdr:cNvSpPr txBox="1"/>
      </xdr:nvSpPr>
      <xdr:spPr>
        <a:xfrm>
          <a:off x="95247" y="1114423"/>
          <a:ext cx="11229977" cy="4086227"/>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000" b="1">
              <a:latin typeface="Arial" panose="020B0604020202020204" pitchFamily="34" charset="0"/>
              <a:cs typeface="Arial" panose="020B0604020202020204" pitchFamily="34" charset="0"/>
            </a:rPr>
            <a:t>LICENSE INFORMATION:</a:t>
          </a:r>
        </a:p>
        <a:p>
          <a:r>
            <a:rPr lang="en-US" sz="900">
              <a:solidFill>
                <a:schemeClr val="tx1"/>
              </a:solidFill>
              <a:effectLst/>
              <a:latin typeface="Arial" panose="020B0604020202020204" pitchFamily="34" charset="0"/>
              <a:ea typeface="+mn-ea"/>
              <a:cs typeface="Arial" panose="020B0604020202020204" pitchFamily="34" charset="0"/>
            </a:rPr>
            <a:t>Copyright (c) 2021 Texas Instruments Incorporated</a:t>
          </a:r>
        </a:p>
        <a:p>
          <a:r>
            <a:rPr lang="en-US" sz="900">
              <a:solidFill>
                <a:schemeClr val="tx1"/>
              </a:solidFill>
              <a:effectLst/>
              <a:latin typeface="Arial" panose="020B0604020202020204" pitchFamily="34" charset="0"/>
              <a:ea typeface="+mn-ea"/>
              <a:cs typeface="Arial" panose="020B0604020202020204" pitchFamily="34" charset="0"/>
            </a:rPr>
            <a:t> </a:t>
          </a:r>
        </a:p>
        <a:p>
          <a:r>
            <a:rPr lang="en-US" sz="900">
              <a:solidFill>
                <a:schemeClr val="tx1"/>
              </a:solidFill>
              <a:effectLst/>
              <a:latin typeface="Arial" panose="020B0604020202020204" pitchFamily="34" charset="0"/>
              <a:ea typeface="+mn-ea"/>
              <a:cs typeface="Arial" panose="020B0604020202020204" pitchFamily="34" charset="0"/>
            </a:rPr>
            <a:t>All rights reserved not granted herein.</a:t>
          </a:r>
        </a:p>
        <a:p>
          <a:r>
            <a:rPr lang="en-US" sz="900">
              <a:solidFill>
                <a:schemeClr val="tx1"/>
              </a:solidFill>
              <a:effectLst/>
              <a:latin typeface="Arial" panose="020B0604020202020204" pitchFamily="34" charset="0"/>
              <a:ea typeface="+mn-ea"/>
              <a:cs typeface="Arial" panose="020B0604020202020204" pitchFamily="34" charset="0"/>
            </a:rPr>
            <a:t> </a:t>
          </a:r>
        </a:p>
        <a:p>
          <a:r>
            <a:rPr lang="en-US" sz="900">
              <a:solidFill>
                <a:schemeClr val="tx1"/>
              </a:solidFill>
              <a:effectLst/>
              <a:latin typeface="Arial" panose="020B0604020202020204" pitchFamily="34" charset="0"/>
              <a:ea typeface="+mn-ea"/>
              <a:cs typeface="Arial" panose="020B0604020202020204" pitchFamily="34" charset="0"/>
            </a:rPr>
            <a:t>Limited License.  </a:t>
          </a:r>
        </a:p>
        <a:p>
          <a:r>
            <a:rPr lang="en-US" sz="900">
              <a:solidFill>
                <a:schemeClr val="tx1"/>
              </a:solidFill>
              <a:effectLst/>
              <a:latin typeface="Arial" panose="020B0604020202020204" pitchFamily="34" charset="0"/>
              <a:ea typeface="+mn-ea"/>
              <a:cs typeface="Arial" panose="020B0604020202020204" pitchFamily="34" charset="0"/>
            </a:rPr>
            <a:t> </a:t>
          </a:r>
        </a:p>
        <a:p>
          <a:r>
            <a:rPr lang="en-US" sz="900">
              <a:solidFill>
                <a:schemeClr val="tx1"/>
              </a:solidFill>
              <a:effectLst/>
              <a:latin typeface="Arial" panose="020B0604020202020204" pitchFamily="34" charset="0"/>
              <a:ea typeface="+mn-ea"/>
              <a:cs typeface="Arial" panose="020B0604020202020204" pitchFamily="34" charset="0"/>
            </a:rPr>
            <a:t>Texas Instruments Incorporated grants a world-wide, royalty-free, non-exclusive license under copyrights and patents it now or hereafter owns or controls to make, have made, use, import, offer to sell and sell ("Utilize") this software subject to the terms herein.  With respect to the foregoing patent license, such license is granted  solely to the extent that any such patent is necessary to Utilize the software alone.  The patent license shall not apply to any combinations which include this software, other than combinations with devices manufactured by or for TI (“TI Devices”).  No hardware patent is licensed hereunder.</a:t>
          </a:r>
        </a:p>
        <a:p>
          <a:r>
            <a:rPr lang="en-US" sz="900">
              <a:solidFill>
                <a:schemeClr val="tx1"/>
              </a:solidFill>
              <a:effectLst/>
              <a:latin typeface="Arial" panose="020B0604020202020204" pitchFamily="34" charset="0"/>
              <a:ea typeface="+mn-ea"/>
              <a:cs typeface="Arial" panose="020B0604020202020204" pitchFamily="34" charset="0"/>
            </a:rPr>
            <a:t> </a:t>
          </a:r>
        </a:p>
        <a:p>
          <a:r>
            <a:rPr lang="en-US" sz="900">
              <a:solidFill>
                <a:schemeClr val="tx1"/>
              </a:solidFill>
              <a:effectLst/>
              <a:latin typeface="Arial" panose="020B0604020202020204" pitchFamily="34" charset="0"/>
              <a:ea typeface="+mn-ea"/>
              <a:cs typeface="Arial" panose="020B0604020202020204" pitchFamily="34" charset="0"/>
            </a:rPr>
            <a:t>Redistributions must preserve existing copyright notices and reproduce this license (including the above copyright notice and the disclaimer and (if applicable) source code license limitations below) in the documentation and/or other materials provided with the distribution</a:t>
          </a:r>
        </a:p>
        <a:p>
          <a:r>
            <a:rPr lang="en-US" sz="900">
              <a:solidFill>
                <a:schemeClr val="tx1"/>
              </a:solidFill>
              <a:effectLst/>
              <a:latin typeface="Arial" panose="020B0604020202020204" pitchFamily="34" charset="0"/>
              <a:ea typeface="+mn-ea"/>
              <a:cs typeface="Arial" panose="020B0604020202020204" pitchFamily="34" charset="0"/>
            </a:rPr>
            <a:t> </a:t>
          </a:r>
        </a:p>
        <a:p>
          <a:r>
            <a:rPr lang="en-US" sz="900">
              <a:solidFill>
                <a:schemeClr val="tx1"/>
              </a:solidFill>
              <a:effectLst/>
              <a:latin typeface="Arial" panose="020B0604020202020204" pitchFamily="34" charset="0"/>
              <a:ea typeface="+mn-ea"/>
              <a:cs typeface="Arial" panose="020B0604020202020204" pitchFamily="34" charset="0"/>
            </a:rPr>
            <a:t>Redistribution and use in binary form, without modification, are permitted provided that the following conditions are met:</a:t>
          </a:r>
        </a:p>
        <a:p>
          <a:r>
            <a:rPr lang="en-US" sz="900">
              <a:solidFill>
                <a:schemeClr val="tx1"/>
              </a:solidFill>
              <a:effectLst/>
              <a:latin typeface="Arial" panose="020B0604020202020204" pitchFamily="34" charset="0"/>
              <a:ea typeface="+mn-ea"/>
              <a:cs typeface="Arial" panose="020B0604020202020204" pitchFamily="34" charset="0"/>
            </a:rPr>
            <a:t>*	No reverse engineering, decompilation, or disassembly of this software is permitted with respect to any software provided in binary form. </a:t>
          </a:r>
        </a:p>
        <a:p>
          <a:r>
            <a:rPr lang="en-US" sz="900">
              <a:solidFill>
                <a:schemeClr val="tx1"/>
              </a:solidFill>
              <a:effectLst/>
              <a:latin typeface="Arial" panose="020B0604020202020204" pitchFamily="34" charset="0"/>
              <a:ea typeface="+mn-ea"/>
              <a:cs typeface="Arial" panose="020B0604020202020204" pitchFamily="34" charset="0"/>
            </a:rPr>
            <a:t>*	Any redistribution and use are licensed by TI for use only with TI Devices.</a:t>
          </a:r>
        </a:p>
        <a:p>
          <a:r>
            <a:rPr lang="en-US" sz="900">
              <a:solidFill>
                <a:schemeClr val="tx1"/>
              </a:solidFill>
              <a:effectLst/>
              <a:latin typeface="Arial" panose="020B0604020202020204" pitchFamily="34" charset="0"/>
              <a:ea typeface="+mn-ea"/>
              <a:cs typeface="Arial" panose="020B0604020202020204" pitchFamily="34" charset="0"/>
            </a:rPr>
            <a:t>*	Nothing shall obligate TI to provide you with source code for the software licensed and provided to you in object code.</a:t>
          </a:r>
        </a:p>
        <a:p>
          <a:r>
            <a:rPr lang="en-US" sz="900">
              <a:solidFill>
                <a:schemeClr val="tx1"/>
              </a:solidFill>
              <a:effectLst/>
              <a:latin typeface="Arial" panose="020B0604020202020204" pitchFamily="34" charset="0"/>
              <a:ea typeface="+mn-ea"/>
              <a:cs typeface="Arial" panose="020B0604020202020204" pitchFamily="34" charset="0"/>
            </a:rPr>
            <a:t> </a:t>
          </a:r>
        </a:p>
        <a:p>
          <a:r>
            <a:rPr lang="en-US" sz="900">
              <a:solidFill>
                <a:schemeClr val="tx1"/>
              </a:solidFill>
              <a:effectLst/>
              <a:latin typeface="Arial" panose="020B0604020202020204" pitchFamily="34" charset="0"/>
              <a:ea typeface="+mn-ea"/>
              <a:cs typeface="Arial" panose="020B0604020202020204" pitchFamily="34" charset="0"/>
            </a:rPr>
            <a:t>If software source code is provided to you, modification and redistribution of the source code are permitted provided that the following conditions are met:</a:t>
          </a:r>
        </a:p>
        <a:p>
          <a:r>
            <a:rPr lang="en-US" sz="900">
              <a:solidFill>
                <a:schemeClr val="tx1"/>
              </a:solidFill>
              <a:effectLst/>
              <a:latin typeface="Arial" panose="020B0604020202020204" pitchFamily="34" charset="0"/>
              <a:ea typeface="+mn-ea"/>
              <a:cs typeface="Arial" panose="020B0604020202020204" pitchFamily="34" charset="0"/>
            </a:rPr>
            <a:t>*	Any redistribution and use of the source code, including any resulting derivative works, are licensed by TI for use only with TI Devices.</a:t>
          </a:r>
        </a:p>
        <a:p>
          <a:r>
            <a:rPr lang="en-US" sz="900">
              <a:solidFill>
                <a:schemeClr val="tx1"/>
              </a:solidFill>
              <a:effectLst/>
              <a:latin typeface="Arial" panose="020B0604020202020204" pitchFamily="34" charset="0"/>
              <a:ea typeface="+mn-ea"/>
              <a:cs typeface="Arial" panose="020B0604020202020204" pitchFamily="34" charset="0"/>
            </a:rPr>
            <a:t>*	Any redistribution and use of any object code compiled from the source code and any resulting derivative works, are licensed by TI for use only with TI Devices.</a:t>
          </a:r>
        </a:p>
        <a:p>
          <a:endParaRPr lang="en-US" sz="900">
            <a:solidFill>
              <a:schemeClr val="tx1"/>
            </a:solidFill>
            <a:effectLst/>
            <a:latin typeface="Arial" panose="020B0604020202020204" pitchFamily="34" charset="0"/>
            <a:ea typeface="+mn-ea"/>
            <a:cs typeface="Arial" panose="020B0604020202020204" pitchFamily="34" charset="0"/>
          </a:endParaRPr>
        </a:p>
        <a:p>
          <a:r>
            <a:rPr lang="en-US" sz="900">
              <a:solidFill>
                <a:schemeClr val="tx1"/>
              </a:solidFill>
              <a:effectLst/>
              <a:latin typeface="Arial" panose="020B0604020202020204" pitchFamily="34" charset="0"/>
              <a:ea typeface="+mn-ea"/>
              <a:cs typeface="Arial" panose="020B0604020202020204" pitchFamily="34" charset="0"/>
            </a:rPr>
            <a:t>Neither the name of Texas Instruments Incorporated nor the names of its suppliers may be used to endorse or promote products derived from this software without specific prior written permission.</a:t>
          </a:r>
          <a:endParaRPr lang="en-US" sz="1000" b="1">
            <a:latin typeface="Arial" panose="020B0604020202020204" pitchFamily="34" charset="0"/>
            <a:cs typeface="Arial" panose="020B060402020202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en-US" sz="1000" baseline="0">
            <a:latin typeface="Arial" panose="020B0604020202020204" pitchFamily="34" charset="0"/>
            <a:cs typeface="Arial" panose="020B060402020202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000" b="1" baseline="0">
              <a:latin typeface="Arial" panose="020B0604020202020204" pitchFamily="34" charset="0"/>
              <a:cs typeface="Arial" panose="020B0604020202020204" pitchFamily="34" charset="0"/>
            </a:rPr>
            <a:t>DISCLAMER:</a:t>
          </a:r>
        </a:p>
        <a:p>
          <a:pPr marL="0" marR="0" indent="0" defTabSz="914400" eaLnBrk="1" fontAlgn="auto" latinLnBrk="0" hangingPunct="1">
            <a:lnSpc>
              <a:spcPct val="100000"/>
            </a:lnSpc>
            <a:spcBef>
              <a:spcPts val="0"/>
            </a:spcBef>
            <a:spcAft>
              <a:spcPts val="0"/>
            </a:spcAft>
            <a:buClrTx/>
            <a:buSzTx/>
            <a:buFontTx/>
            <a:buNone/>
            <a:tabLst/>
            <a:defRPr/>
          </a:pPr>
          <a:r>
            <a:rPr lang="en-US" sz="800" baseline="0">
              <a:latin typeface="Arial" panose="020B0604020202020204" pitchFamily="34" charset="0"/>
              <a:cs typeface="Arial" panose="020B0604020202020204" pitchFamily="34" charset="0"/>
            </a:rPr>
            <a:t>THIS SOFTWARE IS PROVIDED BY TI AND TI’S LICENSORS "AS IS" AND ANY EXPRESS OR IMPLIED WARRANTIES, INCLUDING, BUT NOT LIMITED TO, THE IMPLIED WARRANTIES OF MERCHANTABILITY AND FITNESS FOR A PARTICULAR PURPOSE ARE DISCLAIMED. IN NO EVENT SHALL TI AND TI’S LICENSORS BE LIABLE FOR ANY DIRECT, INDIRECT, INCIDENTAL, SPECIAL, EXEMPLARY, OR CONSEQUENTIAL DAMAGES (INCLUDING, BUT NOT LIMITED TO, PROCUREMENT OF SUBSTITUTE GOODS OR SERVICES; LOSS OF USE, DATA, OR PROFITS; OR BUSINESS INTERRUPTION) HOWEVER CAUSED AND ON ANY THEORY OF LIABILITY, WHETHER IN CONTRACT, STRICT LIABILITY, OR TORT (INCLUDING NEGLIGENCE OR OTHERWISE) ARISING IN ANY WAY OUT OF THE USE OF THIS SOFTWARE, EVEN IF ADVISED OF THE POSSIBILITY OF SUCH DAMAGE.</a:t>
          </a:r>
        </a:p>
      </xdr:txBody>
    </xdr:sp>
    <xdr:clientData/>
  </xdr:oneCellAnchor>
  <xdr:oneCellAnchor>
    <xdr:from>
      <xdr:col>0</xdr:col>
      <xdr:colOff>95247</xdr:colOff>
      <xdr:row>29</xdr:row>
      <xdr:rowOff>47623</xdr:rowOff>
    </xdr:from>
    <xdr:ext cx="11229977" cy="809627"/>
    <xdr:sp macro="" textlink="">
      <xdr:nvSpPr>
        <xdr:cNvPr id="6" name="TextBox 5">
          <a:extLst>
            <a:ext uri="{FF2B5EF4-FFF2-40B4-BE49-F238E27FC236}">
              <a16:creationId xmlns:a16="http://schemas.microsoft.com/office/drawing/2014/main" id="{00000000-0008-0000-0800-000006000000}"/>
            </a:ext>
          </a:extLst>
        </xdr:cNvPr>
        <xdr:cNvSpPr txBox="1"/>
      </xdr:nvSpPr>
      <xdr:spPr>
        <a:xfrm>
          <a:off x="95247" y="5276848"/>
          <a:ext cx="11229977" cy="809627"/>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a:solidFill>
                <a:schemeClr val="tx1"/>
              </a:solidFill>
              <a:effectLst/>
              <a:latin typeface="+mn-lt"/>
              <a:ea typeface="+mn-ea"/>
              <a:cs typeface="+mn-cs"/>
            </a:rPr>
            <a:t>IMPORTANT</a:t>
          </a:r>
          <a:r>
            <a:rPr lang="en-US" sz="1100" b="1" baseline="0">
              <a:solidFill>
                <a:schemeClr val="tx1"/>
              </a:solidFill>
              <a:effectLst/>
              <a:latin typeface="+mn-lt"/>
              <a:ea typeface="+mn-ea"/>
              <a:cs typeface="+mn-cs"/>
            </a:rPr>
            <a:t>:   </a:t>
          </a:r>
          <a:endParaRPr lang="en-US" sz="800">
            <a:effectLst/>
          </a:endParaRPr>
        </a:p>
        <a:p>
          <a:r>
            <a:rPr lang="en-US" sz="1100" baseline="0">
              <a:solidFill>
                <a:schemeClr val="tx1"/>
              </a:solidFill>
              <a:effectLst/>
              <a:latin typeface="+mn-lt"/>
              <a:ea typeface="+mn-ea"/>
              <a:cs typeface="+mn-cs"/>
            </a:rPr>
            <a:t>1.  Do not delete this worksheet!</a:t>
          </a:r>
          <a:endParaRPr lang="en-US" sz="800">
            <a:effectLst/>
          </a:endParaRPr>
        </a:p>
        <a:p>
          <a:pPr eaLnBrk="1" fontAlgn="auto" latinLnBrk="0" hangingPunct="1"/>
          <a:r>
            <a:rPr lang="en-US" sz="1100" baseline="0">
              <a:solidFill>
                <a:schemeClr val="tx1"/>
              </a:solidFill>
              <a:effectLst/>
              <a:latin typeface="+mn-lt"/>
              <a:ea typeface="+mn-ea"/>
              <a:cs typeface="+mn-cs"/>
            </a:rPr>
            <a:t>2.  Redistributions must retain the above copyright and the following disclaimer.</a:t>
          </a:r>
          <a:endParaRPr lang="en-US" sz="800">
            <a:effectLst/>
          </a:endParaRPr>
        </a:p>
        <a:p>
          <a:endParaRPr lang="en-US" sz="800" baseline="0">
            <a:latin typeface="Arial" panose="020B0604020202020204" pitchFamily="34" charset="0"/>
            <a:cs typeface="Arial" panose="020B0604020202020204" pitchFamily="34" charset="0"/>
          </a:endParaRP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0196876/Downloads/ADS1235%20Design%20Calculato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of Contents "/>
      <sheetName val="Common-Mode Range"/>
      <sheetName val="Code Conversions"/>
      <sheetName val="Digital Filter"/>
      <sheetName val="STATUS"/>
      <sheetName val="CRC"/>
      <sheetName val="About"/>
      <sheetName val="Help"/>
    </sheetNames>
    <sheetDataSet>
      <sheetData sheetId="0" refreshError="1"/>
      <sheetData sheetId="1" refreshError="1"/>
      <sheetData sheetId="2" refreshError="1"/>
      <sheetData sheetId="3">
        <row r="84">
          <cell r="T84" t="b">
            <v>0</v>
          </cell>
        </row>
      </sheetData>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omments" Target="../comments2.xml"/><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pageSetUpPr fitToPage="1"/>
  </sheetPr>
  <dimension ref="A1:AA100"/>
  <sheetViews>
    <sheetView tabSelected="1" topLeftCell="A4" zoomScaleNormal="100" workbookViewId="0">
      <selection activeCell="H12" sqref="H12"/>
    </sheetView>
  </sheetViews>
  <sheetFormatPr defaultColWidth="8.875" defaultRowHeight="15" x14ac:dyDescent="0.3"/>
  <cols>
    <col min="1" max="5" width="8.875" style="57" customWidth="1"/>
    <col min="6" max="6" width="12.75" style="57" bestFit="1" customWidth="1"/>
    <col min="7" max="7" width="8.875" style="113" customWidth="1"/>
    <col min="8" max="8" width="12" style="57" bestFit="1" customWidth="1"/>
    <col min="9" max="9" width="4.25" style="57" bestFit="1" customWidth="1"/>
    <col min="10" max="10" width="4.75" style="57" customWidth="1"/>
    <col min="11" max="21" width="8.875" style="57" customWidth="1"/>
    <col min="22" max="22" width="7.25" style="57" customWidth="1"/>
    <col min="23" max="26" width="8.875" style="57" customWidth="1"/>
    <col min="27" max="27" width="1.75" style="114" customWidth="1"/>
    <col min="28" max="16384" width="8.875" style="57"/>
  </cols>
  <sheetData>
    <row r="1" spans="1:27" ht="46.95" customHeight="1" x14ac:dyDescent="0.3">
      <c r="A1" s="53"/>
      <c r="B1" s="53"/>
      <c r="C1" s="53"/>
      <c r="D1" s="53"/>
      <c r="E1" s="54" t="s">
        <v>579</v>
      </c>
      <c r="F1" s="53"/>
      <c r="G1" s="55"/>
      <c r="H1" s="53"/>
      <c r="I1" s="53"/>
      <c r="J1" s="53"/>
      <c r="K1" s="53"/>
      <c r="L1" s="53"/>
      <c r="M1" s="53"/>
      <c r="N1" s="53"/>
      <c r="O1" s="53"/>
      <c r="P1" s="53"/>
      <c r="Q1" s="53"/>
      <c r="R1" s="53"/>
      <c r="S1" s="53"/>
      <c r="T1" s="53"/>
      <c r="U1" s="53"/>
      <c r="V1" s="53"/>
      <c r="W1" s="53"/>
      <c r="X1" s="53"/>
      <c r="Y1" s="53"/>
      <c r="Z1" s="53"/>
      <c r="AA1" s="56"/>
    </row>
    <row r="2" spans="1:27" x14ac:dyDescent="0.3">
      <c r="A2" s="58"/>
      <c r="B2" s="58"/>
      <c r="C2" s="58"/>
      <c r="D2" s="58"/>
      <c r="E2" s="58"/>
      <c r="F2" s="58"/>
      <c r="G2" s="59"/>
      <c r="H2" s="58"/>
      <c r="I2" s="58"/>
      <c r="J2" s="58"/>
      <c r="K2" s="58"/>
      <c r="L2" s="58"/>
      <c r="M2" s="58"/>
      <c r="N2" s="58"/>
      <c r="O2" s="58"/>
      <c r="P2" s="58"/>
      <c r="Q2" s="58"/>
      <c r="R2" s="58"/>
      <c r="S2" s="58"/>
      <c r="T2" s="58"/>
      <c r="U2" s="58"/>
      <c r="V2" s="58"/>
      <c r="W2" s="58"/>
      <c r="X2" s="58"/>
      <c r="Y2" s="58"/>
      <c r="Z2" s="58"/>
      <c r="AA2" s="56"/>
    </row>
    <row r="3" spans="1:27" x14ac:dyDescent="0.3">
      <c r="A3" s="60" t="s">
        <v>1</v>
      </c>
      <c r="B3" s="58"/>
      <c r="C3" s="58"/>
      <c r="D3" s="58"/>
      <c r="E3" s="61"/>
      <c r="F3" s="62" t="s">
        <v>2</v>
      </c>
      <c r="G3" s="59"/>
      <c r="H3" s="58"/>
      <c r="I3" s="58"/>
      <c r="J3" s="58"/>
      <c r="K3" s="58"/>
      <c r="L3" s="58"/>
      <c r="M3" s="58"/>
      <c r="N3" s="228" t="s">
        <v>0</v>
      </c>
      <c r="O3" s="228"/>
      <c r="P3" s="58"/>
      <c r="Q3" s="58"/>
      <c r="R3" s="58"/>
      <c r="S3" s="58"/>
      <c r="T3" s="58"/>
      <c r="U3" s="58"/>
      <c r="V3" s="58"/>
      <c r="W3" s="58"/>
      <c r="X3" s="58"/>
      <c r="Y3" s="58"/>
      <c r="Z3" s="58"/>
      <c r="AA3" s="56"/>
    </row>
    <row r="4" spans="1:27" s="66" customFormat="1" x14ac:dyDescent="0.3">
      <c r="A4" s="63"/>
      <c r="B4" s="63"/>
      <c r="C4" s="63"/>
      <c r="D4" s="63"/>
      <c r="E4" s="63"/>
      <c r="F4" s="63"/>
      <c r="G4" s="64"/>
      <c r="H4" s="63"/>
      <c r="I4" s="63"/>
      <c r="J4" s="63"/>
      <c r="K4" s="63"/>
      <c r="L4" s="63"/>
      <c r="M4" s="63"/>
      <c r="N4" s="63"/>
      <c r="O4" s="63"/>
      <c r="P4" s="63"/>
      <c r="Q4" s="63"/>
      <c r="R4" s="63"/>
      <c r="S4" s="63"/>
      <c r="T4" s="63"/>
      <c r="U4" s="63"/>
      <c r="V4" s="63"/>
      <c r="W4" s="63"/>
      <c r="X4" s="63"/>
      <c r="Y4" s="63"/>
      <c r="Z4" s="63"/>
      <c r="AA4" s="65"/>
    </row>
    <row r="5" spans="1:27" x14ac:dyDescent="0.3">
      <c r="A5" s="67"/>
      <c r="B5" s="67"/>
      <c r="C5" s="67"/>
      <c r="D5" s="67"/>
      <c r="E5" s="67"/>
      <c r="F5" s="67"/>
      <c r="G5" s="68"/>
      <c r="H5" s="67"/>
      <c r="I5" s="67"/>
      <c r="J5" s="67"/>
      <c r="K5" s="67"/>
      <c r="L5" s="67"/>
      <c r="M5" s="67"/>
      <c r="N5" s="67" t="s">
        <v>577</v>
      </c>
      <c r="O5" s="69" t="s">
        <v>578</v>
      </c>
      <c r="P5" s="67"/>
      <c r="Q5" s="67"/>
      <c r="R5" s="67"/>
      <c r="S5" s="67"/>
      <c r="T5" s="67"/>
      <c r="U5" s="67"/>
      <c r="V5" s="67"/>
      <c r="W5" s="67"/>
      <c r="X5" s="67"/>
      <c r="Y5" s="67"/>
      <c r="Z5" s="67"/>
      <c r="AA5" s="56"/>
    </row>
    <row r="6" spans="1:27" ht="15.6" thickBot="1" x14ac:dyDescent="0.35">
      <c r="A6" s="70" t="s">
        <v>3</v>
      </c>
      <c r="B6" s="67"/>
      <c r="C6" s="67"/>
      <c r="D6" s="67"/>
      <c r="E6" s="67"/>
      <c r="F6" s="67"/>
      <c r="G6" s="68"/>
      <c r="H6" s="67"/>
      <c r="I6" s="67"/>
      <c r="J6" s="67"/>
      <c r="K6" s="67"/>
      <c r="L6" s="67"/>
      <c r="M6" s="67"/>
      <c r="N6" s="67"/>
      <c r="O6" s="67"/>
      <c r="P6" s="67"/>
      <c r="Q6" s="67"/>
      <c r="R6" s="67"/>
      <c r="S6" s="67"/>
      <c r="T6" s="67"/>
      <c r="U6" s="67"/>
      <c r="V6" s="67"/>
      <c r="W6" s="67"/>
      <c r="X6" s="67"/>
      <c r="Y6" s="67"/>
      <c r="Z6" s="67"/>
      <c r="AA6" s="56"/>
    </row>
    <row r="7" spans="1:27" ht="16.2" x14ac:dyDescent="0.35">
      <c r="A7" s="71"/>
      <c r="B7" s="72"/>
      <c r="C7" s="72"/>
      <c r="D7" s="72"/>
      <c r="E7" s="72"/>
      <c r="F7" s="72"/>
      <c r="G7" s="73" t="s">
        <v>4</v>
      </c>
      <c r="H7" s="116">
        <v>37</v>
      </c>
      <c r="I7" s="74" t="s">
        <v>10</v>
      </c>
      <c r="J7" s="67"/>
      <c r="K7" s="67"/>
      <c r="L7" s="67"/>
      <c r="M7" s="67"/>
      <c r="N7" s="67"/>
      <c r="O7" s="67"/>
      <c r="P7" s="67"/>
      <c r="Q7" s="67"/>
      <c r="R7" s="67"/>
      <c r="S7" s="67"/>
      <c r="T7" s="67"/>
      <c r="U7" s="67"/>
      <c r="V7" s="67"/>
      <c r="W7" s="67"/>
      <c r="X7" s="67"/>
      <c r="Y7" s="67"/>
      <c r="Z7" s="67"/>
      <c r="AA7" s="56"/>
    </row>
    <row r="8" spans="1:27" ht="16.2" x14ac:dyDescent="0.35">
      <c r="A8" s="75"/>
      <c r="B8" s="67"/>
      <c r="C8" s="67"/>
      <c r="D8" s="67"/>
      <c r="E8" s="67"/>
      <c r="F8" s="67"/>
      <c r="G8" s="76" t="s">
        <v>5</v>
      </c>
      <c r="H8" s="117">
        <v>45</v>
      </c>
      <c r="I8" s="77" t="s">
        <v>10</v>
      </c>
      <c r="J8" s="67"/>
      <c r="K8" s="67"/>
      <c r="L8" s="67"/>
      <c r="M8" s="67"/>
      <c r="N8" s="67"/>
      <c r="O8" s="67"/>
      <c r="P8" s="67"/>
      <c r="Q8" s="67"/>
      <c r="R8" s="67"/>
      <c r="S8" s="67"/>
      <c r="T8" s="67"/>
      <c r="U8" s="67"/>
      <c r="V8" s="67"/>
      <c r="W8" s="67"/>
      <c r="X8" s="67"/>
      <c r="Y8" s="67"/>
      <c r="Z8" s="67"/>
      <c r="AA8" s="56"/>
    </row>
    <row r="9" spans="1:27" ht="16.2" x14ac:dyDescent="0.35">
      <c r="A9" s="75"/>
      <c r="B9" s="67"/>
      <c r="C9" s="67"/>
      <c r="D9" s="67"/>
      <c r="E9" s="67"/>
      <c r="F9" s="67"/>
      <c r="G9" s="76" t="s">
        <v>6</v>
      </c>
      <c r="H9" s="117">
        <v>57</v>
      </c>
      <c r="I9" s="77" t="s">
        <v>10</v>
      </c>
      <c r="J9" s="67"/>
      <c r="K9" s="67"/>
      <c r="L9" s="67"/>
      <c r="M9" s="67"/>
      <c r="N9" s="67"/>
      <c r="O9" s="67"/>
      <c r="P9" s="67"/>
      <c r="Q9" s="67"/>
      <c r="R9" s="67"/>
      <c r="S9" s="67"/>
      <c r="T9" s="67"/>
      <c r="U9" s="67"/>
      <c r="V9" s="67"/>
      <c r="W9" s="67"/>
      <c r="X9" s="67"/>
      <c r="Y9" s="67"/>
      <c r="Z9" s="67"/>
      <c r="AA9" s="56"/>
    </row>
    <row r="10" spans="1:27" ht="16.2" x14ac:dyDescent="0.35">
      <c r="A10" s="75"/>
      <c r="B10" s="67"/>
      <c r="C10" s="67"/>
      <c r="D10" s="67"/>
      <c r="E10" s="67"/>
      <c r="F10" s="67"/>
      <c r="G10" s="76" t="s">
        <v>540</v>
      </c>
      <c r="H10" s="117">
        <v>54</v>
      </c>
      <c r="I10" s="77" t="s">
        <v>10</v>
      </c>
      <c r="J10" s="67"/>
      <c r="K10" s="67"/>
      <c r="L10" s="67"/>
      <c r="M10" s="67"/>
      <c r="N10" s="67"/>
      <c r="O10" s="67"/>
      <c r="P10" s="67"/>
      <c r="Q10" s="67"/>
      <c r="R10" s="67"/>
      <c r="S10" s="67"/>
      <c r="T10" s="67"/>
      <c r="U10" s="67"/>
      <c r="V10" s="67"/>
      <c r="W10" s="67"/>
      <c r="X10" s="67"/>
      <c r="Y10" s="67"/>
      <c r="Z10" s="67"/>
      <c r="AA10" s="56"/>
    </row>
    <row r="11" spans="1:27" ht="16.2" x14ac:dyDescent="0.35">
      <c r="A11" s="75"/>
      <c r="B11" s="67"/>
      <c r="C11" s="67"/>
      <c r="D11" s="67"/>
      <c r="E11" s="67"/>
      <c r="F11" s="67"/>
      <c r="G11" s="76" t="s">
        <v>7</v>
      </c>
      <c r="H11" s="117">
        <v>0.5</v>
      </c>
      <c r="I11" s="77" t="s">
        <v>11</v>
      </c>
      <c r="J11" s="67"/>
      <c r="K11" s="67"/>
      <c r="L11" s="67"/>
      <c r="M11" s="67"/>
      <c r="N11" s="67"/>
      <c r="O11" s="67"/>
      <c r="P11" s="67"/>
      <c r="Q11" s="67"/>
      <c r="R11" s="67"/>
      <c r="S11" s="67"/>
      <c r="T11" s="67"/>
      <c r="U11" s="67"/>
      <c r="V11" s="67"/>
      <c r="W11" s="67"/>
      <c r="X11" s="67"/>
      <c r="Y11" s="67"/>
      <c r="Z11" s="67"/>
      <c r="AA11" s="56"/>
    </row>
    <row r="12" spans="1:27" ht="16.2" x14ac:dyDescent="0.35">
      <c r="A12" s="75"/>
      <c r="B12" s="67"/>
      <c r="C12" s="67"/>
      <c r="D12" s="67"/>
      <c r="E12" s="67"/>
      <c r="F12" s="67"/>
      <c r="G12" s="76" t="s">
        <v>8</v>
      </c>
      <c r="H12" s="117">
        <v>445</v>
      </c>
      <c r="I12" s="77" t="s">
        <v>12</v>
      </c>
      <c r="J12" s="67"/>
      <c r="K12" s="67"/>
      <c r="L12" s="67"/>
      <c r="M12" s="67"/>
      <c r="N12" s="67"/>
      <c r="O12" s="67"/>
      <c r="P12" s="67"/>
      <c r="Q12" s="67"/>
      <c r="R12" s="67"/>
      <c r="S12" s="67"/>
      <c r="T12" s="67"/>
      <c r="U12" s="67"/>
      <c r="V12" s="67"/>
      <c r="W12" s="67"/>
      <c r="X12" s="67"/>
      <c r="Y12" s="67"/>
      <c r="Z12" s="67"/>
      <c r="AA12" s="56"/>
    </row>
    <row r="13" spans="1:27" ht="16.2" x14ac:dyDescent="0.35">
      <c r="A13" s="75"/>
      <c r="B13" s="67"/>
      <c r="C13" s="67"/>
      <c r="D13" s="67"/>
      <c r="E13" s="67"/>
      <c r="F13" s="67"/>
      <c r="G13" s="76" t="s">
        <v>75</v>
      </c>
      <c r="H13" s="118">
        <f>RT/1000</f>
        <v>48.707921348314606</v>
      </c>
      <c r="I13" s="77" t="s">
        <v>76</v>
      </c>
      <c r="J13" s="67"/>
      <c r="K13" s="67"/>
      <c r="L13" s="67"/>
      <c r="M13" s="67"/>
      <c r="N13" s="67"/>
      <c r="O13" s="67"/>
      <c r="P13" s="67"/>
      <c r="Q13" s="67"/>
      <c r="R13" s="67"/>
      <c r="S13" s="67"/>
      <c r="T13" s="67"/>
      <c r="U13" s="67"/>
      <c r="V13" s="67"/>
      <c r="W13" s="67"/>
      <c r="X13" s="67"/>
      <c r="Y13" s="67"/>
      <c r="Z13" s="67"/>
      <c r="AA13" s="56"/>
    </row>
    <row r="14" spans="1:27" x14ac:dyDescent="0.3">
      <c r="A14" s="75"/>
      <c r="B14" s="67"/>
      <c r="C14" s="67"/>
      <c r="D14" s="67"/>
      <c r="E14" s="67"/>
      <c r="F14" s="67"/>
      <c r="G14" s="76" t="s">
        <v>9</v>
      </c>
      <c r="H14" s="117">
        <v>97</v>
      </c>
      <c r="I14" s="77" t="s">
        <v>13</v>
      </c>
      <c r="J14" s="67"/>
      <c r="K14" s="67"/>
      <c r="L14" s="67"/>
      <c r="M14" s="67"/>
      <c r="N14" s="67"/>
      <c r="O14" s="67"/>
      <c r="P14" s="67"/>
      <c r="Q14" s="67"/>
      <c r="R14" s="67"/>
      <c r="S14" s="67"/>
      <c r="T14" s="67"/>
      <c r="U14" s="67"/>
      <c r="V14" s="67"/>
      <c r="W14" s="67"/>
      <c r="X14" s="67"/>
      <c r="Y14" s="67"/>
      <c r="Z14" s="67"/>
      <c r="AA14" s="56"/>
    </row>
    <row r="15" spans="1:27" ht="16.2" x14ac:dyDescent="0.35">
      <c r="A15" s="75"/>
      <c r="B15" s="67"/>
      <c r="C15" s="67"/>
      <c r="D15" s="67"/>
      <c r="E15" s="67"/>
      <c r="F15" s="67"/>
      <c r="G15" s="76" t="s">
        <v>14</v>
      </c>
      <c r="H15" s="119">
        <f>POUT</f>
        <v>27</v>
      </c>
      <c r="I15" s="77" t="s">
        <v>38</v>
      </c>
      <c r="J15" s="67"/>
      <c r="K15" s="67"/>
      <c r="L15" s="67"/>
      <c r="M15" s="67"/>
      <c r="N15" s="67"/>
      <c r="O15" s="67"/>
      <c r="P15" s="67"/>
      <c r="Q15" s="67"/>
      <c r="R15" s="67"/>
      <c r="S15" s="67"/>
      <c r="T15" s="67"/>
      <c r="U15" s="67"/>
      <c r="V15" s="67"/>
      <c r="W15" s="67"/>
      <c r="X15" s="67"/>
      <c r="Y15" s="67"/>
      <c r="Z15" s="67"/>
      <c r="AA15" s="56"/>
    </row>
    <row r="16" spans="1:27" ht="16.2" x14ac:dyDescent="0.35">
      <c r="A16" s="78"/>
      <c r="B16" s="79"/>
      <c r="C16" s="79"/>
      <c r="D16" s="79"/>
      <c r="E16" s="79"/>
      <c r="F16" s="67"/>
      <c r="G16" s="80" t="s">
        <v>486</v>
      </c>
      <c r="H16" s="119">
        <f>Dc_max_IC*100</f>
        <v>93</v>
      </c>
      <c r="I16" s="77" t="s">
        <v>13</v>
      </c>
      <c r="J16" s="67"/>
      <c r="K16" s="67"/>
      <c r="L16" s="67"/>
      <c r="M16" s="67"/>
      <c r="N16" s="67"/>
      <c r="O16" s="67"/>
      <c r="P16" s="67"/>
      <c r="Q16" s="67"/>
      <c r="R16" s="67"/>
      <c r="S16" s="67"/>
      <c r="T16" s="67"/>
      <c r="U16" s="67"/>
      <c r="V16" s="67"/>
      <c r="W16" s="67"/>
      <c r="X16" s="67"/>
      <c r="Y16" s="67"/>
      <c r="Z16" s="67"/>
      <c r="AA16" s="56"/>
    </row>
    <row r="17" spans="1:27" ht="15.6" thickBot="1" x14ac:dyDescent="0.35">
      <c r="A17" s="78"/>
      <c r="B17" s="79"/>
      <c r="C17" s="79"/>
      <c r="D17" s="79"/>
      <c r="E17" s="79"/>
      <c r="F17" s="67"/>
      <c r="G17" s="80" t="s">
        <v>518</v>
      </c>
      <c r="H17" s="142">
        <f>Variable_Management!B39*100</f>
        <v>31.481481481481477</v>
      </c>
      <c r="I17" s="77" t="s">
        <v>13</v>
      </c>
      <c r="J17" s="67"/>
      <c r="K17" s="67"/>
      <c r="L17" s="67"/>
      <c r="M17" s="67"/>
      <c r="N17" s="67"/>
      <c r="O17" s="67"/>
      <c r="P17" s="67"/>
      <c r="Q17" s="67"/>
      <c r="R17" s="67"/>
      <c r="S17" s="67"/>
      <c r="T17" s="67"/>
      <c r="U17" s="67"/>
      <c r="V17" s="67"/>
      <c r="W17" s="67"/>
      <c r="X17" s="67"/>
      <c r="Y17" s="67"/>
      <c r="Z17" s="67"/>
      <c r="AA17" s="56"/>
    </row>
    <row r="18" spans="1:27" ht="15.6" thickBot="1" x14ac:dyDescent="0.35">
      <c r="A18" s="81"/>
      <c r="B18" s="82"/>
      <c r="C18" s="82"/>
      <c r="D18" s="82"/>
      <c r="E18" s="82"/>
      <c r="F18" s="83"/>
      <c r="G18" s="84" t="s">
        <v>522</v>
      </c>
      <c r="H18" s="138" t="s">
        <v>495</v>
      </c>
      <c r="I18" s="85"/>
      <c r="J18" s="67"/>
      <c r="K18" s="67"/>
      <c r="L18" s="67"/>
      <c r="M18" s="67"/>
      <c r="N18" s="67"/>
      <c r="O18" s="67"/>
      <c r="P18" s="67"/>
      <c r="Q18" s="67"/>
      <c r="R18" s="67"/>
      <c r="S18" s="67"/>
      <c r="T18" s="67"/>
      <c r="U18" s="67"/>
      <c r="V18" s="67"/>
      <c r="W18" s="67"/>
      <c r="X18" s="67"/>
      <c r="Y18" s="67"/>
      <c r="Z18" s="67"/>
      <c r="AA18" s="56"/>
    </row>
    <row r="19" spans="1:27" x14ac:dyDescent="0.3">
      <c r="A19" s="79"/>
      <c r="B19" s="79"/>
      <c r="C19" s="79"/>
      <c r="D19" s="79"/>
      <c r="E19" s="79"/>
      <c r="F19" s="67"/>
      <c r="G19" s="68"/>
      <c r="H19" s="67"/>
      <c r="I19" s="67"/>
      <c r="J19" s="67"/>
      <c r="K19" s="67"/>
      <c r="L19" s="67"/>
      <c r="M19" s="67"/>
      <c r="N19" s="67"/>
      <c r="O19" s="67"/>
      <c r="P19" s="67"/>
      <c r="Q19" s="67"/>
      <c r="R19" s="67"/>
      <c r="S19" s="67"/>
      <c r="T19" s="67"/>
      <c r="U19" s="67"/>
      <c r="V19" s="67"/>
      <c r="W19" s="67"/>
      <c r="X19" s="67"/>
      <c r="Y19" s="67"/>
      <c r="Z19" s="67"/>
      <c r="AA19" s="56"/>
    </row>
    <row r="20" spans="1:27" ht="15.6" thickBot="1" x14ac:dyDescent="0.35">
      <c r="A20" s="70" t="s">
        <v>77</v>
      </c>
      <c r="B20" s="79"/>
      <c r="C20" s="79"/>
      <c r="D20" s="79"/>
      <c r="E20" s="79"/>
      <c r="F20" s="67"/>
      <c r="G20" s="68"/>
      <c r="H20" s="67"/>
      <c r="I20" s="67"/>
      <c r="J20" s="67"/>
      <c r="K20" s="67"/>
      <c r="L20" s="67"/>
      <c r="M20" s="67"/>
      <c r="N20" s="67"/>
      <c r="O20" s="67"/>
      <c r="P20" s="67"/>
      <c r="Q20" s="67"/>
      <c r="R20" s="67"/>
      <c r="S20" s="67"/>
      <c r="T20" s="67"/>
      <c r="U20" s="67"/>
      <c r="V20" s="67"/>
      <c r="W20" s="67"/>
      <c r="X20" s="67"/>
      <c r="Y20" s="67"/>
      <c r="Z20" s="67"/>
      <c r="AA20" s="56"/>
    </row>
    <row r="21" spans="1:27" ht="16.2" x14ac:dyDescent="0.35">
      <c r="A21" s="86"/>
      <c r="B21" s="87"/>
      <c r="C21" s="87"/>
      <c r="D21" s="87"/>
      <c r="E21" s="87"/>
      <c r="F21" s="72"/>
      <c r="G21" s="73" t="s">
        <v>487</v>
      </c>
      <c r="H21" s="116">
        <v>60</v>
      </c>
      <c r="I21" s="74" t="s">
        <v>13</v>
      </c>
      <c r="J21" s="67"/>
      <c r="K21" s="67"/>
      <c r="L21" s="67"/>
      <c r="M21" s="67"/>
      <c r="N21" s="67"/>
      <c r="O21" s="67"/>
      <c r="P21" s="67"/>
      <c r="Q21" s="67"/>
      <c r="R21" s="67"/>
      <c r="S21" s="67"/>
      <c r="T21" s="67"/>
      <c r="U21" s="67"/>
      <c r="V21" s="67"/>
      <c r="W21" s="67"/>
      <c r="X21" s="67"/>
      <c r="Y21" s="67"/>
      <c r="Z21" s="67"/>
      <c r="AA21" s="56"/>
    </row>
    <row r="22" spans="1:27" ht="16.2" x14ac:dyDescent="0.35">
      <c r="A22" s="75"/>
      <c r="B22" s="67"/>
      <c r="C22" s="67"/>
      <c r="D22" s="67"/>
      <c r="E22" s="67"/>
      <c r="F22" s="67"/>
      <c r="G22" s="76" t="s">
        <v>459</v>
      </c>
      <c r="H22" s="120">
        <f>IF(H18="CCM",Lopt_2*10^6,L_DCM*10^6)</f>
        <v>59.920584269662896</v>
      </c>
      <c r="I22" s="77" t="s">
        <v>542</v>
      </c>
      <c r="J22" s="67"/>
      <c r="K22" s="67"/>
      <c r="L22" s="67"/>
      <c r="M22" s="67"/>
      <c r="N22" s="67"/>
      <c r="O22" s="67"/>
      <c r="P22" s="67"/>
      <c r="Q22" s="67"/>
      <c r="R22" s="67"/>
      <c r="S22" s="67"/>
      <c r="T22" s="67"/>
      <c r="U22" s="67"/>
      <c r="V22" s="67"/>
      <c r="W22" s="67"/>
      <c r="X22" s="67"/>
      <c r="Y22" s="67"/>
      <c r="Z22" s="67"/>
      <c r="AA22" s="56"/>
    </row>
    <row r="23" spans="1:27" ht="16.2" x14ac:dyDescent="0.35">
      <c r="A23" s="75"/>
      <c r="B23" s="67"/>
      <c r="C23" s="67"/>
      <c r="D23" s="67"/>
      <c r="E23" s="67"/>
      <c r="F23" s="67"/>
      <c r="G23" s="76" t="s">
        <v>460</v>
      </c>
      <c r="H23" s="117">
        <v>56</v>
      </c>
      <c r="I23" s="77" t="s">
        <v>542</v>
      </c>
      <c r="J23" s="67"/>
      <c r="K23" s="67"/>
      <c r="L23" s="67"/>
      <c r="M23" s="67"/>
      <c r="N23" s="67"/>
      <c r="O23" s="67"/>
      <c r="P23" s="67"/>
      <c r="Q23" s="67"/>
      <c r="R23" s="67"/>
      <c r="S23" s="67"/>
      <c r="T23" s="67"/>
      <c r="U23" s="67"/>
      <c r="V23" s="67"/>
      <c r="W23" s="67"/>
      <c r="X23" s="67"/>
      <c r="Y23" s="67"/>
      <c r="Z23" s="67"/>
      <c r="AA23" s="56"/>
    </row>
    <row r="24" spans="1:27" ht="16.2" x14ac:dyDescent="0.35">
      <c r="A24" s="75"/>
      <c r="B24" s="67"/>
      <c r="C24" s="67"/>
      <c r="D24" s="67"/>
      <c r="E24" s="67"/>
      <c r="F24" s="67"/>
      <c r="G24" s="76" t="s">
        <v>81</v>
      </c>
      <c r="H24" s="117">
        <v>230</v>
      </c>
      <c r="I24" s="77" t="s">
        <v>105</v>
      </c>
      <c r="J24" s="67"/>
      <c r="K24" s="67"/>
      <c r="L24" s="67"/>
      <c r="M24" s="67"/>
      <c r="N24" s="67"/>
      <c r="O24" s="67"/>
      <c r="P24" s="67"/>
      <c r="Q24" s="67"/>
      <c r="R24" s="67"/>
      <c r="S24" s="67"/>
      <c r="T24" s="67"/>
      <c r="U24" s="67"/>
      <c r="V24" s="67"/>
      <c r="W24" s="67"/>
      <c r="X24" s="67"/>
      <c r="Y24" s="67"/>
      <c r="Z24" s="67"/>
      <c r="AA24" s="56"/>
    </row>
    <row r="25" spans="1:27" ht="16.8" thickBot="1" x14ac:dyDescent="0.4">
      <c r="A25" s="88"/>
      <c r="B25" s="83"/>
      <c r="C25" s="83"/>
      <c r="D25" s="83"/>
      <c r="E25" s="83"/>
      <c r="F25" s="83"/>
      <c r="G25" s="89" t="s">
        <v>106</v>
      </c>
      <c r="H25" s="121">
        <f>ILp_VINmin</f>
        <v>0.98600952808644227</v>
      </c>
      <c r="I25" s="85" t="s">
        <v>11</v>
      </c>
      <c r="J25" s="67"/>
      <c r="K25" s="67"/>
      <c r="L25" s="67"/>
      <c r="M25" s="67"/>
      <c r="N25" s="67"/>
      <c r="O25" s="67"/>
      <c r="P25" s="67"/>
      <c r="Q25" s="67"/>
      <c r="R25" s="67"/>
      <c r="S25" s="67"/>
      <c r="T25" s="67"/>
      <c r="U25" s="67"/>
      <c r="V25" s="67"/>
      <c r="W25" s="67"/>
      <c r="X25" s="67"/>
      <c r="Y25" s="67"/>
      <c r="Z25" s="67"/>
      <c r="AA25" s="56"/>
    </row>
    <row r="26" spans="1:27" x14ac:dyDescent="0.3">
      <c r="A26" s="67"/>
      <c r="B26" s="67"/>
      <c r="C26" s="67"/>
      <c r="D26" s="67"/>
      <c r="E26" s="67"/>
      <c r="F26" s="67"/>
      <c r="G26" s="68"/>
      <c r="H26" s="67"/>
      <c r="I26" s="67"/>
      <c r="J26" s="67"/>
      <c r="K26" s="67"/>
      <c r="L26" s="67"/>
      <c r="M26" s="67"/>
      <c r="N26" s="67"/>
      <c r="O26" s="67"/>
      <c r="P26" s="67"/>
      <c r="Q26" s="67"/>
      <c r="R26" s="67"/>
      <c r="S26" s="67"/>
      <c r="T26" s="67"/>
      <c r="U26" s="67"/>
      <c r="V26" s="67"/>
      <c r="W26" s="67"/>
      <c r="X26" s="67"/>
      <c r="Y26" s="67"/>
      <c r="Z26" s="67"/>
      <c r="AA26" s="56"/>
    </row>
    <row r="27" spans="1:27" ht="15.6" thickBot="1" x14ac:dyDescent="0.35">
      <c r="A27" s="70" t="s">
        <v>127</v>
      </c>
      <c r="B27" s="67"/>
      <c r="C27" s="67"/>
      <c r="D27" s="67"/>
      <c r="E27" s="67"/>
      <c r="F27" s="67"/>
      <c r="G27" s="68"/>
      <c r="H27" s="67"/>
      <c r="I27" s="67"/>
      <c r="J27" s="67"/>
      <c r="K27" s="67"/>
      <c r="L27" s="67"/>
      <c r="M27" s="67"/>
      <c r="N27" s="67"/>
      <c r="O27" s="67"/>
      <c r="P27" s="67"/>
      <c r="Q27" s="67"/>
      <c r="R27" s="67"/>
      <c r="S27" s="67"/>
      <c r="T27" s="67"/>
      <c r="U27" s="67"/>
      <c r="V27" s="67"/>
      <c r="W27" s="67"/>
      <c r="X27" s="67"/>
      <c r="Y27" s="67"/>
      <c r="Z27" s="67"/>
      <c r="AA27" s="56"/>
    </row>
    <row r="28" spans="1:27" x14ac:dyDescent="0.3">
      <c r="A28" s="71"/>
      <c r="B28" s="72"/>
      <c r="C28" s="72"/>
      <c r="D28" s="72"/>
      <c r="E28" s="72"/>
      <c r="F28" s="72"/>
      <c r="G28" s="73" t="s">
        <v>488</v>
      </c>
      <c r="H28" s="116">
        <v>20</v>
      </c>
      <c r="I28" s="74" t="s">
        <v>13</v>
      </c>
      <c r="J28" s="67"/>
      <c r="K28" s="67"/>
      <c r="L28" s="67"/>
      <c r="M28" s="67"/>
      <c r="N28" s="67"/>
      <c r="O28" s="67"/>
      <c r="P28" s="67"/>
      <c r="Q28" s="67"/>
      <c r="R28" s="67"/>
      <c r="S28" s="67"/>
      <c r="T28" s="67"/>
      <c r="U28" s="67"/>
      <c r="V28" s="67"/>
      <c r="W28" s="67"/>
      <c r="X28" s="67"/>
      <c r="Y28" s="67"/>
      <c r="Z28" s="67"/>
      <c r="AA28" s="56"/>
    </row>
    <row r="29" spans="1:27" ht="16.2" x14ac:dyDescent="0.35">
      <c r="A29" s="75"/>
      <c r="B29" s="67"/>
      <c r="C29" s="67"/>
      <c r="D29" s="67"/>
      <c r="E29" s="67"/>
      <c r="F29" s="67"/>
      <c r="G29" s="68" t="s">
        <v>203</v>
      </c>
      <c r="H29" s="118">
        <f>Ipk_selected</f>
        <v>1.1832114337037307</v>
      </c>
      <c r="I29" s="77" t="s">
        <v>11</v>
      </c>
      <c r="J29" s="67"/>
      <c r="K29" s="67"/>
      <c r="L29" s="67"/>
      <c r="M29" s="67"/>
      <c r="N29" s="67"/>
      <c r="O29" s="67"/>
      <c r="P29" s="67"/>
      <c r="Q29" s="67"/>
      <c r="R29" s="67"/>
      <c r="S29" s="67"/>
      <c r="T29" s="67"/>
      <c r="U29" s="67"/>
      <c r="V29" s="67"/>
      <c r="W29" s="67"/>
      <c r="X29" s="67"/>
      <c r="Y29" s="67"/>
      <c r="Z29" s="67"/>
      <c r="AA29" s="56"/>
    </row>
    <row r="30" spans="1:27" ht="16.2" x14ac:dyDescent="0.35">
      <c r="A30" s="75"/>
      <c r="B30" s="67"/>
      <c r="C30" s="67"/>
      <c r="D30" s="67"/>
      <c r="E30" s="67"/>
      <c r="F30" s="67"/>
      <c r="G30" s="68" t="s">
        <v>493</v>
      </c>
      <c r="H30" s="118">
        <f>Variable_Management!B135*1000</f>
        <v>84.515748539528929</v>
      </c>
      <c r="I30" s="77" t="s">
        <v>105</v>
      </c>
      <c r="J30" s="67"/>
      <c r="K30" s="67"/>
      <c r="L30" s="67"/>
      <c r="M30" s="67"/>
      <c r="N30" s="67"/>
      <c r="O30" s="67"/>
      <c r="P30" s="67"/>
      <c r="Q30" s="67"/>
      <c r="R30" s="67"/>
      <c r="S30" s="67"/>
      <c r="T30" s="67"/>
      <c r="U30" s="67"/>
      <c r="V30" s="67"/>
      <c r="W30" s="67"/>
      <c r="X30" s="67"/>
      <c r="Y30" s="67"/>
      <c r="Z30" s="67"/>
      <c r="AA30" s="56"/>
    </row>
    <row r="31" spans="1:27" ht="16.2" x14ac:dyDescent="0.35">
      <c r="A31" s="75"/>
      <c r="B31" s="67"/>
      <c r="C31" s="67"/>
      <c r="D31" s="67"/>
      <c r="E31" s="67"/>
      <c r="F31" s="67"/>
      <c r="G31" s="68" t="s">
        <v>166</v>
      </c>
      <c r="H31" s="122">
        <f>Variable_Management!B136</f>
        <v>0</v>
      </c>
      <c r="I31" s="90" t="s">
        <v>36</v>
      </c>
      <c r="J31" s="67"/>
      <c r="K31" s="67"/>
      <c r="L31" s="67"/>
      <c r="M31" s="67"/>
      <c r="N31" s="67"/>
      <c r="O31" s="67"/>
      <c r="P31" s="67"/>
      <c r="Q31" s="67"/>
      <c r="R31" s="67"/>
      <c r="S31" s="67"/>
      <c r="T31" s="67"/>
      <c r="U31" s="67"/>
      <c r="V31" s="67"/>
      <c r="W31" s="67"/>
      <c r="X31" s="67"/>
      <c r="Y31" s="67"/>
      <c r="Z31" s="67"/>
      <c r="AA31" s="56"/>
    </row>
    <row r="32" spans="1:27" ht="16.2" x14ac:dyDescent="0.35">
      <c r="A32" s="75"/>
      <c r="B32" s="67"/>
      <c r="C32" s="67"/>
      <c r="D32" s="67"/>
      <c r="E32" s="67"/>
      <c r="F32" s="67"/>
      <c r="G32" s="68" t="s">
        <v>494</v>
      </c>
      <c r="H32" s="117">
        <v>60</v>
      </c>
      <c r="I32" s="77" t="s">
        <v>105</v>
      </c>
      <c r="J32" s="67"/>
      <c r="K32" s="67"/>
      <c r="L32" s="67"/>
      <c r="M32" s="67"/>
      <c r="N32" s="67"/>
      <c r="O32" s="67"/>
      <c r="P32" s="67"/>
      <c r="Q32" s="67"/>
      <c r="R32" s="67"/>
      <c r="S32" s="67"/>
      <c r="T32" s="67"/>
      <c r="U32" s="67"/>
      <c r="V32" s="67"/>
      <c r="W32" s="67"/>
      <c r="X32" s="67"/>
      <c r="Y32" s="67"/>
      <c r="Z32" s="67"/>
      <c r="AA32" s="56"/>
    </row>
    <row r="33" spans="1:27" ht="16.2" x14ac:dyDescent="0.35">
      <c r="A33" s="75"/>
      <c r="B33" s="67"/>
      <c r="C33" s="67"/>
      <c r="D33" s="67"/>
      <c r="E33" s="67"/>
      <c r="F33" s="67"/>
      <c r="G33" s="68" t="s">
        <v>169</v>
      </c>
      <c r="H33" s="117">
        <v>0</v>
      </c>
      <c r="I33" s="90" t="s">
        <v>36</v>
      </c>
      <c r="J33" s="67"/>
      <c r="K33" s="67"/>
      <c r="L33" s="67"/>
      <c r="M33" s="67"/>
      <c r="N33" s="67"/>
      <c r="O33" s="67"/>
      <c r="P33" s="67"/>
      <c r="Q33" s="67"/>
      <c r="R33" s="67"/>
      <c r="S33" s="67"/>
      <c r="T33" s="67"/>
      <c r="U33" s="67"/>
      <c r="V33" s="67"/>
      <c r="W33" s="67"/>
      <c r="X33" s="67"/>
      <c r="Y33" s="67"/>
      <c r="Z33" s="67"/>
      <c r="AA33" s="56"/>
    </row>
    <row r="34" spans="1:27" x14ac:dyDescent="0.3">
      <c r="A34" s="75"/>
      <c r="B34" s="67"/>
      <c r="C34" s="67"/>
      <c r="D34" s="67"/>
      <c r="E34" s="67"/>
      <c r="F34" s="67"/>
      <c r="G34" s="68" t="s">
        <v>173</v>
      </c>
      <c r="H34" s="118">
        <f>IL_pk_max</f>
        <v>1.6666666666666667</v>
      </c>
      <c r="I34" s="90" t="s">
        <v>11</v>
      </c>
      <c r="J34" s="67"/>
      <c r="K34" s="67"/>
      <c r="L34" s="67"/>
      <c r="M34" s="67"/>
      <c r="N34" s="67"/>
      <c r="O34" s="67"/>
      <c r="P34" s="67"/>
      <c r="Q34" s="67"/>
      <c r="R34" s="67"/>
      <c r="S34" s="67"/>
      <c r="T34" s="67"/>
      <c r="U34" s="67"/>
      <c r="V34" s="67"/>
      <c r="W34" s="67"/>
      <c r="X34" s="67"/>
      <c r="Y34" s="67"/>
      <c r="Z34" s="67"/>
      <c r="AA34" s="56"/>
    </row>
    <row r="35" spans="1:27" ht="15.6" thickBot="1" x14ac:dyDescent="0.35">
      <c r="A35" s="88"/>
      <c r="B35" s="83"/>
      <c r="C35" s="83"/>
      <c r="D35" s="83"/>
      <c r="E35" s="83"/>
      <c r="F35" s="83"/>
      <c r="G35" s="91" t="s">
        <v>191</v>
      </c>
      <c r="H35" s="123">
        <f>Variable_Management!B145</f>
        <v>1.9166666666666665</v>
      </c>
      <c r="I35" s="92" t="s">
        <v>11</v>
      </c>
      <c r="J35" s="67"/>
      <c r="K35" s="67"/>
      <c r="L35" s="67"/>
      <c r="M35" s="67"/>
      <c r="N35" s="67"/>
      <c r="O35" s="67"/>
      <c r="P35" s="67"/>
      <c r="Q35" s="67"/>
      <c r="R35" s="67"/>
      <c r="S35" s="67"/>
      <c r="T35" s="67"/>
      <c r="U35" s="67"/>
      <c r="V35" s="67"/>
      <c r="W35" s="67"/>
      <c r="X35" s="67"/>
      <c r="Y35" s="67"/>
      <c r="Z35" s="67"/>
      <c r="AA35" s="56"/>
    </row>
    <row r="36" spans="1:27" x14ac:dyDescent="0.3">
      <c r="A36" s="67"/>
      <c r="B36" s="67"/>
      <c r="C36" s="67"/>
      <c r="D36" s="67"/>
      <c r="E36" s="67"/>
      <c r="F36" s="67"/>
      <c r="G36" s="68"/>
      <c r="H36" s="67"/>
      <c r="I36" s="67"/>
      <c r="J36" s="67"/>
      <c r="K36" s="67"/>
      <c r="L36" s="67"/>
      <c r="M36" s="67"/>
      <c r="N36" s="67"/>
      <c r="O36" s="67"/>
      <c r="P36" s="67"/>
      <c r="Q36" s="67"/>
      <c r="R36" s="67"/>
      <c r="S36" s="67"/>
      <c r="T36" s="67"/>
      <c r="U36" s="67"/>
      <c r="V36" s="67"/>
      <c r="W36" s="67"/>
      <c r="X36" s="67"/>
      <c r="Y36" s="67"/>
      <c r="Z36" s="67"/>
      <c r="AA36" s="56"/>
    </row>
    <row r="37" spans="1:27" ht="15.6" thickBot="1" x14ac:dyDescent="0.35">
      <c r="A37" s="70" t="s">
        <v>185</v>
      </c>
      <c r="B37" s="67"/>
      <c r="C37" s="67"/>
      <c r="D37" s="67"/>
      <c r="E37" s="67"/>
      <c r="F37" s="67"/>
      <c r="G37" s="68"/>
      <c r="H37" s="67"/>
      <c r="I37" s="67"/>
      <c r="J37" s="67"/>
      <c r="K37" s="67"/>
      <c r="L37" s="67"/>
      <c r="M37" s="67"/>
      <c r="N37" s="67"/>
      <c r="O37" s="67"/>
      <c r="P37" s="67"/>
      <c r="Q37" s="67"/>
      <c r="R37" s="67"/>
      <c r="S37" s="67"/>
      <c r="T37" s="67"/>
      <c r="U37" s="67"/>
      <c r="V37" s="67"/>
      <c r="W37" s="67"/>
      <c r="X37" s="67"/>
      <c r="Y37" s="67"/>
      <c r="Z37" s="67"/>
      <c r="AA37" s="56"/>
    </row>
    <row r="38" spans="1:27" ht="15.6" x14ac:dyDescent="0.35">
      <c r="A38" s="71"/>
      <c r="B38" s="72"/>
      <c r="C38" s="72"/>
      <c r="D38" s="72"/>
      <c r="E38" s="72"/>
      <c r="F38" s="72"/>
      <c r="G38" s="93" t="s">
        <v>541</v>
      </c>
      <c r="H38" s="116">
        <v>100</v>
      </c>
      <c r="I38" s="74" t="s">
        <v>186</v>
      </c>
      <c r="J38" s="67"/>
      <c r="K38" s="67"/>
      <c r="L38" s="67"/>
      <c r="M38" s="67"/>
      <c r="N38" s="67"/>
      <c r="O38" s="67"/>
      <c r="P38" s="67"/>
      <c r="Q38" s="67"/>
      <c r="R38" s="67"/>
      <c r="S38" s="67"/>
      <c r="T38" s="67"/>
      <c r="U38" s="67"/>
      <c r="V38" s="67"/>
      <c r="W38" s="67"/>
      <c r="X38" s="67"/>
      <c r="Y38" s="67"/>
      <c r="Z38" s="67"/>
      <c r="AA38" s="56"/>
    </row>
    <row r="39" spans="1:27" x14ac:dyDescent="0.3">
      <c r="A39" s="75"/>
      <c r="B39" s="67"/>
      <c r="C39" s="67"/>
      <c r="D39" s="67"/>
      <c r="E39" s="67"/>
      <c r="F39" s="67"/>
      <c r="G39" s="68" t="s">
        <v>187</v>
      </c>
      <c r="H39" s="143">
        <f>Cout_min*10^6</f>
        <v>3.5372451102788176</v>
      </c>
      <c r="I39" s="77" t="s">
        <v>543</v>
      </c>
      <c r="J39" s="67"/>
      <c r="K39" s="67"/>
      <c r="L39" s="67"/>
      <c r="M39" s="67"/>
      <c r="N39" s="67"/>
      <c r="O39" s="67"/>
      <c r="P39" s="67"/>
      <c r="Q39" s="67"/>
      <c r="R39" s="67"/>
      <c r="S39" s="67"/>
      <c r="T39" s="67"/>
      <c r="U39" s="67"/>
      <c r="V39" s="67"/>
      <c r="W39" s="67"/>
      <c r="X39" s="67"/>
      <c r="Y39" s="67"/>
      <c r="Z39" s="67"/>
      <c r="AA39" s="56"/>
    </row>
    <row r="40" spans="1:27" ht="16.2" x14ac:dyDescent="0.35">
      <c r="A40" s="75"/>
      <c r="B40" s="67"/>
      <c r="C40" s="67"/>
      <c r="D40" s="67"/>
      <c r="E40" s="67"/>
      <c r="F40" s="67"/>
      <c r="G40" s="68" t="s">
        <v>195</v>
      </c>
      <c r="H40" s="118">
        <f>IRMS_COUT</f>
        <v>0.40591293189764788</v>
      </c>
      <c r="I40" s="77" t="s">
        <v>11</v>
      </c>
      <c r="J40" s="67"/>
      <c r="K40" s="67"/>
      <c r="L40" s="67"/>
      <c r="M40" s="67"/>
      <c r="N40" s="67"/>
      <c r="O40" s="67"/>
      <c r="P40" s="67"/>
      <c r="Q40" s="67"/>
      <c r="R40" s="67"/>
      <c r="S40" s="67"/>
      <c r="T40" s="67"/>
      <c r="U40" s="67"/>
      <c r="V40" s="67"/>
      <c r="W40" s="67"/>
      <c r="X40" s="67"/>
      <c r="Y40" s="67"/>
      <c r="Z40" s="67"/>
      <c r="AA40" s="56"/>
    </row>
    <row r="41" spans="1:27" ht="16.2" x14ac:dyDescent="0.35">
      <c r="A41" s="75"/>
      <c r="B41" s="67"/>
      <c r="C41" s="67"/>
      <c r="D41" s="67"/>
      <c r="E41" s="67"/>
      <c r="F41" s="67"/>
      <c r="G41" s="68" t="s">
        <v>188</v>
      </c>
      <c r="H41" s="117">
        <v>47</v>
      </c>
      <c r="I41" s="77" t="s">
        <v>543</v>
      </c>
      <c r="J41" s="67"/>
      <c r="K41" s="67"/>
      <c r="L41" s="67"/>
      <c r="M41" s="67"/>
      <c r="N41" s="67"/>
      <c r="O41" s="67"/>
      <c r="P41" s="67"/>
      <c r="Q41" s="67"/>
      <c r="R41" s="67"/>
      <c r="S41" s="67"/>
      <c r="T41" s="67"/>
      <c r="U41" s="67"/>
      <c r="V41" s="67"/>
      <c r="W41" s="67"/>
      <c r="X41" s="67"/>
      <c r="Y41" s="67"/>
      <c r="Z41" s="67"/>
      <c r="AA41" s="56"/>
    </row>
    <row r="42" spans="1:27" ht="16.8" thickBot="1" x14ac:dyDescent="0.4">
      <c r="A42" s="88"/>
      <c r="B42" s="83"/>
      <c r="C42" s="83"/>
      <c r="D42" s="83"/>
      <c r="E42" s="83"/>
      <c r="F42" s="83"/>
      <c r="G42" s="91" t="s">
        <v>198</v>
      </c>
      <c r="H42" s="124">
        <v>2</v>
      </c>
      <c r="I42" s="85" t="s">
        <v>105</v>
      </c>
      <c r="J42" s="67"/>
      <c r="K42" s="67"/>
      <c r="L42" s="67"/>
      <c r="M42" s="67"/>
      <c r="N42" s="67"/>
      <c r="O42" s="67"/>
      <c r="P42" s="67"/>
      <c r="Q42" s="67"/>
      <c r="R42" s="67"/>
      <c r="S42" s="67"/>
      <c r="T42" s="67"/>
      <c r="U42" s="67"/>
      <c r="V42" s="67"/>
      <c r="W42" s="67"/>
      <c r="X42" s="67"/>
      <c r="Y42" s="67"/>
      <c r="Z42" s="67"/>
      <c r="AA42" s="56"/>
    </row>
    <row r="43" spans="1:27" x14ac:dyDescent="0.3">
      <c r="A43" s="67"/>
      <c r="B43" s="67"/>
      <c r="C43" s="67"/>
      <c r="D43" s="67"/>
      <c r="E43" s="67"/>
      <c r="F43" s="67"/>
      <c r="G43" s="68"/>
      <c r="H43" s="67"/>
      <c r="I43" s="67"/>
      <c r="J43" s="67"/>
      <c r="K43" s="67"/>
      <c r="L43" s="67"/>
      <c r="M43" s="67"/>
      <c r="N43" s="67"/>
      <c r="O43" s="67"/>
      <c r="P43" s="67"/>
      <c r="Q43" s="67"/>
      <c r="R43" s="67"/>
      <c r="S43" s="67"/>
      <c r="T43" s="67"/>
      <c r="U43" s="67"/>
      <c r="V43" s="67"/>
      <c r="W43" s="67"/>
      <c r="X43" s="67"/>
      <c r="Y43" s="67"/>
      <c r="Z43" s="67"/>
      <c r="AA43" s="56"/>
    </row>
    <row r="44" spans="1:27" ht="15.6" thickBot="1" x14ac:dyDescent="0.35">
      <c r="A44" s="70" t="s">
        <v>319</v>
      </c>
      <c r="B44" s="67"/>
      <c r="C44" s="67"/>
      <c r="D44" s="67"/>
      <c r="E44" s="67"/>
      <c r="F44" s="67"/>
      <c r="G44" s="68"/>
      <c r="H44" s="67"/>
      <c r="I44" s="67"/>
      <c r="J44" s="67"/>
      <c r="K44" s="67"/>
      <c r="L44" s="67"/>
      <c r="M44" s="67"/>
      <c r="N44" s="67"/>
      <c r="O44" s="67"/>
      <c r="P44" s="67"/>
      <c r="Q44" s="67"/>
      <c r="R44" s="67"/>
      <c r="S44" s="67"/>
      <c r="T44" s="67"/>
      <c r="U44" s="67"/>
      <c r="V44" s="67"/>
      <c r="W44" s="67"/>
      <c r="X44" s="67"/>
      <c r="Y44" s="67"/>
      <c r="Z44" s="67"/>
      <c r="AA44" s="56"/>
    </row>
    <row r="45" spans="1:27" ht="16.2" x14ac:dyDescent="0.35">
      <c r="A45" s="71"/>
      <c r="B45" s="72"/>
      <c r="C45" s="72"/>
      <c r="D45" s="72"/>
      <c r="E45" s="72"/>
      <c r="F45" s="72"/>
      <c r="G45" s="93" t="s">
        <v>342</v>
      </c>
      <c r="H45" s="126">
        <f>Variable_Management!B161*(10^9)</f>
        <v>50.759999999999984</v>
      </c>
      <c r="I45" s="74" t="s">
        <v>218</v>
      </c>
      <c r="J45" s="67"/>
      <c r="K45" s="67"/>
      <c r="L45" s="67"/>
      <c r="M45" s="67"/>
      <c r="N45" s="67"/>
      <c r="O45" s="67"/>
      <c r="P45" s="67"/>
      <c r="Q45" s="67"/>
      <c r="R45" s="67"/>
      <c r="S45" s="67"/>
      <c r="T45" s="67"/>
      <c r="U45" s="67"/>
      <c r="V45" s="67"/>
      <c r="W45" s="67"/>
      <c r="X45" s="67"/>
      <c r="Y45" s="67"/>
      <c r="Z45" s="67"/>
      <c r="AA45" s="56"/>
    </row>
    <row r="46" spans="1:27" ht="16.2" x14ac:dyDescent="0.35">
      <c r="A46" s="75"/>
      <c r="B46" s="67"/>
      <c r="C46" s="67"/>
      <c r="D46" s="67"/>
      <c r="E46" s="67"/>
      <c r="F46" s="67"/>
      <c r="G46" s="68" t="s">
        <v>529</v>
      </c>
      <c r="H46" s="117">
        <v>20</v>
      </c>
      <c r="I46" s="77" t="s">
        <v>343</v>
      </c>
      <c r="J46" s="67"/>
      <c r="K46" s="67"/>
      <c r="L46" s="67"/>
      <c r="M46" s="67"/>
      <c r="N46" s="67"/>
      <c r="O46" s="67"/>
      <c r="P46" s="67"/>
      <c r="Q46" s="67"/>
      <c r="R46" s="67"/>
      <c r="S46" s="67"/>
      <c r="T46" s="67"/>
      <c r="U46" s="67"/>
      <c r="V46" s="67"/>
      <c r="W46" s="67"/>
      <c r="X46" s="67"/>
      <c r="Y46" s="67"/>
      <c r="Z46" s="67"/>
      <c r="AA46" s="56"/>
    </row>
    <row r="47" spans="1:27" ht="16.8" thickBot="1" x14ac:dyDescent="0.4">
      <c r="A47" s="88"/>
      <c r="B47" s="83"/>
      <c r="C47" s="83"/>
      <c r="D47" s="83"/>
      <c r="E47" s="83"/>
      <c r="F47" s="83"/>
      <c r="G47" s="91" t="s">
        <v>346</v>
      </c>
      <c r="H47" s="127">
        <f>Variable_Management!B163*(10^9)</f>
        <v>635.2941176470589</v>
      </c>
      <c r="I47" s="85" t="s">
        <v>218</v>
      </c>
      <c r="J47" s="67"/>
      <c r="K47" s="67"/>
      <c r="L47" s="67"/>
      <c r="M47" s="67"/>
      <c r="N47" s="67"/>
      <c r="O47" s="67"/>
      <c r="P47" s="67"/>
      <c r="Q47" s="67"/>
      <c r="R47" s="67"/>
      <c r="S47" s="67"/>
      <c r="T47" s="67"/>
      <c r="U47" s="67"/>
      <c r="V47" s="67"/>
      <c r="W47" s="67"/>
      <c r="X47" s="67"/>
      <c r="Y47" s="67"/>
      <c r="Z47" s="67"/>
      <c r="AA47" s="56"/>
    </row>
    <row r="48" spans="1:27" x14ac:dyDescent="0.3">
      <c r="A48" s="67"/>
      <c r="B48" s="67"/>
      <c r="C48" s="67"/>
      <c r="D48" s="67"/>
      <c r="E48" s="67"/>
      <c r="F48" s="67"/>
      <c r="G48" s="68"/>
      <c r="H48" s="67"/>
      <c r="I48" s="67"/>
      <c r="J48" s="67"/>
      <c r="K48" s="67"/>
      <c r="L48" s="67"/>
      <c r="M48" s="67"/>
      <c r="N48" s="67"/>
      <c r="O48" s="67"/>
      <c r="P48" s="67"/>
      <c r="Q48" s="67"/>
      <c r="R48" s="67"/>
      <c r="S48" s="67"/>
      <c r="T48" s="67"/>
      <c r="U48" s="67"/>
      <c r="V48" s="67"/>
      <c r="W48" s="67"/>
      <c r="X48" s="67"/>
      <c r="Y48" s="67"/>
      <c r="Z48" s="67"/>
      <c r="AA48" s="56"/>
    </row>
    <row r="49" spans="1:27" ht="15.6" thickBot="1" x14ac:dyDescent="0.35">
      <c r="A49" s="70" t="s">
        <v>320</v>
      </c>
      <c r="B49" s="67"/>
      <c r="C49" s="67"/>
      <c r="D49" s="67"/>
      <c r="E49" s="67"/>
      <c r="F49" s="67"/>
      <c r="G49" s="68"/>
      <c r="H49" s="67"/>
      <c r="I49" s="67"/>
      <c r="J49" s="67"/>
      <c r="K49" s="67"/>
      <c r="L49" s="67"/>
      <c r="M49" s="67"/>
      <c r="N49" s="67"/>
      <c r="O49" s="67"/>
      <c r="P49" s="67"/>
      <c r="Q49" s="67"/>
      <c r="R49" s="67"/>
      <c r="S49" s="67"/>
      <c r="T49" s="67"/>
      <c r="U49" s="67"/>
      <c r="V49" s="67"/>
      <c r="W49" s="67"/>
      <c r="X49" s="67"/>
      <c r="Y49" s="67"/>
      <c r="Z49" s="67"/>
      <c r="AA49" s="56"/>
    </row>
    <row r="50" spans="1:27" ht="16.2" x14ac:dyDescent="0.35">
      <c r="A50" s="71"/>
      <c r="B50" s="72"/>
      <c r="C50" s="72"/>
      <c r="D50" s="72"/>
      <c r="E50" s="72"/>
      <c r="F50" s="72"/>
      <c r="G50" s="93" t="s">
        <v>348</v>
      </c>
      <c r="H50" s="116">
        <v>37</v>
      </c>
      <c r="I50" s="74" t="s">
        <v>10</v>
      </c>
      <c r="J50" s="67"/>
      <c r="K50" s="67"/>
      <c r="L50" s="67"/>
      <c r="M50" s="67"/>
      <c r="N50" s="67"/>
      <c r="O50" s="67"/>
      <c r="P50" s="67"/>
      <c r="Q50" s="67"/>
      <c r="R50" s="67"/>
      <c r="S50" s="67"/>
      <c r="T50" s="67"/>
      <c r="U50" s="67"/>
      <c r="V50" s="67"/>
      <c r="W50" s="67"/>
      <c r="X50" s="67"/>
      <c r="Y50" s="67"/>
      <c r="Z50" s="67"/>
      <c r="AA50" s="56"/>
    </row>
    <row r="51" spans="1:27" ht="16.2" x14ac:dyDescent="0.35">
      <c r="A51" s="75"/>
      <c r="B51" s="67"/>
      <c r="C51" s="67"/>
      <c r="D51" s="67"/>
      <c r="E51" s="67"/>
      <c r="F51" s="67"/>
      <c r="G51" s="68" t="s">
        <v>347</v>
      </c>
      <c r="H51" s="117">
        <v>35</v>
      </c>
      <c r="I51" s="77" t="s">
        <v>10</v>
      </c>
      <c r="J51" s="67"/>
      <c r="K51" s="67"/>
      <c r="L51" s="67"/>
      <c r="M51" s="67"/>
      <c r="N51" s="67"/>
      <c r="O51" s="67"/>
      <c r="P51" s="67"/>
      <c r="Q51" s="115">
        <f>VIN_min</f>
        <v>37</v>
      </c>
      <c r="R51" s="67"/>
      <c r="S51" s="67"/>
      <c r="T51" s="67"/>
      <c r="U51" s="67"/>
      <c r="V51" s="67"/>
      <c r="W51" s="67"/>
      <c r="X51" s="67"/>
      <c r="Y51" s="67"/>
      <c r="Z51" s="67"/>
      <c r="AA51" s="56"/>
    </row>
    <row r="52" spans="1:27" ht="16.2" x14ac:dyDescent="0.35">
      <c r="A52" s="75"/>
      <c r="B52" s="67"/>
      <c r="C52" s="67"/>
      <c r="D52" s="67"/>
      <c r="E52" s="67"/>
      <c r="F52" s="67"/>
      <c r="G52" s="68" t="s">
        <v>463</v>
      </c>
      <c r="H52" s="125">
        <f>Ruvlo_top_calc/1000</f>
        <v>155.79999999999927</v>
      </c>
      <c r="I52" s="90" t="s">
        <v>215</v>
      </c>
      <c r="J52" s="67"/>
      <c r="K52" s="67"/>
      <c r="L52" s="67"/>
      <c r="M52" s="67"/>
      <c r="N52" s="67"/>
      <c r="O52" s="67"/>
      <c r="P52" s="67"/>
      <c r="Q52" s="67"/>
      <c r="R52" s="67"/>
      <c r="S52" s="67"/>
      <c r="T52" s="67"/>
      <c r="U52" s="67"/>
      <c r="V52" s="67"/>
      <c r="W52" s="67"/>
      <c r="X52" s="67"/>
      <c r="Y52" s="67"/>
      <c r="Z52" s="67"/>
      <c r="AA52" s="56"/>
    </row>
    <row r="53" spans="1:27" ht="16.2" x14ac:dyDescent="0.35">
      <c r="A53" s="75"/>
      <c r="B53" s="67"/>
      <c r="C53" s="67"/>
      <c r="D53" s="67"/>
      <c r="E53" s="67"/>
      <c r="F53" s="67"/>
      <c r="G53" s="68" t="s">
        <v>464</v>
      </c>
      <c r="H53" s="117">
        <v>150</v>
      </c>
      <c r="I53" s="90" t="s">
        <v>215</v>
      </c>
      <c r="J53" s="67"/>
      <c r="K53" s="67"/>
      <c r="L53" s="67"/>
      <c r="M53" s="67"/>
      <c r="N53" s="67"/>
      <c r="O53" s="67"/>
      <c r="P53" s="67"/>
      <c r="Q53" s="67"/>
      <c r="R53" s="67"/>
      <c r="S53" s="67"/>
      <c r="T53" s="67"/>
      <c r="U53" s="67"/>
      <c r="V53" s="67"/>
      <c r="W53" s="67"/>
      <c r="X53" s="67"/>
      <c r="Y53" s="67"/>
      <c r="Z53" s="67"/>
      <c r="AA53" s="56"/>
    </row>
    <row r="54" spans="1:27" ht="16.8" thickBot="1" x14ac:dyDescent="0.4">
      <c r="A54" s="88"/>
      <c r="B54" s="83"/>
      <c r="C54" s="83"/>
      <c r="D54" s="83"/>
      <c r="E54" s="83"/>
      <c r="F54" s="83"/>
      <c r="G54" s="91" t="s">
        <v>465</v>
      </c>
      <c r="H54" s="219">
        <f>IF(Ruvlo_bottom_calc/1000=0,"NA",Ruvlo_bottom_calc/1000)</f>
        <v>6.3380281690140849</v>
      </c>
      <c r="I54" s="92" t="s">
        <v>215</v>
      </c>
      <c r="J54" s="67"/>
      <c r="K54" s="67"/>
      <c r="L54" s="67"/>
      <c r="M54" s="67"/>
      <c r="N54" s="67"/>
      <c r="O54" s="67"/>
      <c r="P54" s="67"/>
      <c r="Q54" s="67"/>
      <c r="R54" s="67"/>
      <c r="S54" s="67"/>
      <c r="T54" s="67"/>
      <c r="U54" s="67"/>
      <c r="V54" s="67"/>
      <c r="W54" s="67"/>
      <c r="X54" s="67"/>
      <c r="Y54" s="67"/>
      <c r="Z54" s="67"/>
      <c r="AA54" s="56"/>
    </row>
    <row r="55" spans="1:27" x14ac:dyDescent="0.3">
      <c r="A55" s="67"/>
      <c r="B55" s="67"/>
      <c r="C55" s="67"/>
      <c r="D55" s="67"/>
      <c r="E55" s="67"/>
      <c r="F55" s="67"/>
      <c r="G55" s="68"/>
      <c r="H55" s="67"/>
      <c r="I55" s="67"/>
      <c r="J55" s="67"/>
      <c r="K55" s="67"/>
      <c r="L55" s="67"/>
      <c r="M55" s="67"/>
      <c r="N55" s="67"/>
      <c r="O55" s="67"/>
      <c r="P55" s="67"/>
      <c r="Q55" s="67"/>
      <c r="R55" s="67"/>
      <c r="S55" s="67"/>
      <c r="T55" s="67"/>
      <c r="U55" s="67"/>
      <c r="V55" s="67"/>
      <c r="W55" s="67"/>
      <c r="X55" s="67"/>
      <c r="Y55" s="67"/>
      <c r="Z55" s="67"/>
      <c r="AA55" s="56"/>
    </row>
    <row r="56" spans="1:27" ht="15.6" thickBot="1" x14ac:dyDescent="0.35">
      <c r="A56" s="70" t="s">
        <v>371</v>
      </c>
      <c r="B56" s="67"/>
      <c r="C56" s="67"/>
      <c r="D56" s="67"/>
      <c r="E56" s="67"/>
      <c r="F56" s="67"/>
      <c r="G56" s="67"/>
      <c r="H56" s="67"/>
      <c r="I56" s="67"/>
      <c r="J56" s="67"/>
      <c r="K56" s="67"/>
      <c r="L56" s="67"/>
      <c r="M56" s="67"/>
      <c r="N56" s="67"/>
      <c r="O56" s="67"/>
      <c r="P56" s="67"/>
      <c r="Q56" s="67"/>
      <c r="R56" s="67"/>
      <c r="S56" s="67"/>
      <c r="T56" s="67"/>
      <c r="U56" s="67"/>
      <c r="V56" s="67"/>
      <c r="W56" s="67"/>
      <c r="X56" s="67"/>
      <c r="Y56" s="67"/>
      <c r="Z56" s="67"/>
      <c r="AA56" s="56"/>
    </row>
    <row r="57" spans="1:27" ht="16.2" x14ac:dyDescent="0.35">
      <c r="A57" s="94"/>
      <c r="B57" s="72"/>
      <c r="C57" s="72"/>
      <c r="D57" s="72"/>
      <c r="E57" s="72"/>
      <c r="F57" s="72"/>
      <c r="G57" s="95" t="s">
        <v>489</v>
      </c>
      <c r="H57" s="128" t="str">
        <f>VIN_nom&amp;"V"</f>
        <v>45V</v>
      </c>
      <c r="I57" s="74"/>
      <c r="J57" s="67"/>
      <c r="K57" s="67"/>
      <c r="L57" s="67"/>
      <c r="M57" s="67"/>
      <c r="N57" s="67"/>
      <c r="O57" s="67"/>
      <c r="P57" s="67"/>
      <c r="Q57" s="67"/>
      <c r="R57" s="67"/>
      <c r="S57" s="67"/>
      <c r="T57" s="67"/>
      <c r="U57" s="67"/>
      <c r="V57" s="67"/>
      <c r="W57" s="67"/>
      <c r="X57" s="67"/>
      <c r="Y57" s="67"/>
      <c r="Z57" s="67"/>
      <c r="AA57" s="56"/>
    </row>
    <row r="58" spans="1:27" x14ac:dyDescent="0.3">
      <c r="A58" s="75"/>
      <c r="B58" s="67"/>
      <c r="C58" s="67"/>
      <c r="D58" s="67"/>
      <c r="E58" s="67"/>
      <c r="F58" s="67"/>
      <c r="G58" s="67"/>
      <c r="H58" s="129"/>
      <c r="I58" s="77"/>
      <c r="J58" s="67"/>
      <c r="K58" s="67"/>
      <c r="L58" s="67"/>
      <c r="M58" s="67"/>
      <c r="N58" s="67"/>
      <c r="O58" s="67"/>
      <c r="P58" s="67"/>
      <c r="Q58" s="67"/>
      <c r="R58" s="67"/>
      <c r="S58" s="67"/>
      <c r="T58" s="67"/>
      <c r="U58" s="67"/>
      <c r="V58" s="67"/>
      <c r="W58" s="67"/>
      <c r="X58" s="67"/>
      <c r="Y58" s="67"/>
      <c r="Z58" s="67"/>
      <c r="AA58" s="56"/>
    </row>
    <row r="59" spans="1:27" x14ac:dyDescent="0.3">
      <c r="A59" s="96"/>
      <c r="B59" s="67"/>
      <c r="C59" s="67"/>
      <c r="D59" s="67"/>
      <c r="E59" s="67"/>
      <c r="F59" s="67"/>
      <c r="G59" s="97" t="s">
        <v>216</v>
      </c>
      <c r="H59" s="119"/>
      <c r="I59" s="77"/>
      <c r="J59" s="67"/>
      <c r="K59" s="67"/>
      <c r="L59" s="67"/>
      <c r="M59" s="67"/>
      <c r="N59" s="67"/>
      <c r="O59" s="67"/>
      <c r="P59" s="67"/>
      <c r="Q59" s="67"/>
      <c r="R59" s="67"/>
      <c r="S59" s="67"/>
      <c r="T59" s="67"/>
      <c r="U59" s="67"/>
      <c r="V59" s="67"/>
      <c r="W59" s="67"/>
      <c r="X59" s="67"/>
      <c r="Y59" s="67"/>
      <c r="Z59" s="67"/>
      <c r="AA59" s="56"/>
    </row>
    <row r="60" spans="1:27" ht="16.2" x14ac:dyDescent="0.35">
      <c r="A60" s="96"/>
      <c r="B60" s="67"/>
      <c r="C60" s="67"/>
      <c r="D60" s="67"/>
      <c r="E60" s="67"/>
      <c r="F60" s="67"/>
      <c r="G60" s="68" t="s">
        <v>318</v>
      </c>
      <c r="H60" s="117">
        <v>536</v>
      </c>
      <c r="I60" s="90" t="s">
        <v>215</v>
      </c>
      <c r="J60" s="67"/>
      <c r="K60" s="67"/>
      <c r="L60" s="67"/>
      <c r="M60" s="67"/>
      <c r="N60" s="67"/>
      <c r="O60" s="67"/>
      <c r="P60" s="67"/>
      <c r="Q60" s="67"/>
      <c r="R60" s="67"/>
      <c r="S60" s="67"/>
      <c r="T60" s="67"/>
      <c r="U60" s="67"/>
      <c r="V60" s="67"/>
      <c r="W60" s="67"/>
      <c r="X60" s="67"/>
      <c r="Y60" s="67"/>
      <c r="Z60" s="67"/>
      <c r="AA60" s="56"/>
    </row>
    <row r="61" spans="1:27" ht="16.2" x14ac:dyDescent="0.35">
      <c r="A61" s="96"/>
      <c r="B61" s="67"/>
      <c r="C61" s="67"/>
      <c r="D61" s="67"/>
      <c r="E61" s="67"/>
      <c r="F61" s="67"/>
      <c r="G61" s="68" t="s">
        <v>294</v>
      </c>
      <c r="H61" s="125">
        <f>RFBB_calc/1000</f>
        <v>10.113207547169811</v>
      </c>
      <c r="I61" s="90" t="s">
        <v>215</v>
      </c>
      <c r="J61" s="67"/>
      <c r="K61" s="67"/>
      <c r="L61" s="67"/>
      <c r="M61" s="67"/>
      <c r="N61" s="67"/>
      <c r="O61" s="67"/>
      <c r="P61" s="67"/>
      <c r="Q61" s="67"/>
      <c r="R61" s="67"/>
      <c r="S61" s="67"/>
      <c r="T61" s="67"/>
      <c r="U61" s="67"/>
      <c r="V61" s="67"/>
      <c r="W61" s="67"/>
      <c r="X61" s="67"/>
      <c r="Y61" s="67"/>
      <c r="Z61" s="67"/>
      <c r="AA61" s="56"/>
    </row>
    <row r="62" spans="1:27" ht="16.2" x14ac:dyDescent="0.35">
      <c r="A62" s="96"/>
      <c r="B62" s="67"/>
      <c r="C62" s="67"/>
      <c r="D62" s="67"/>
      <c r="E62" s="67"/>
      <c r="F62" s="67"/>
      <c r="G62" s="68" t="s">
        <v>530</v>
      </c>
      <c r="H62" s="117">
        <v>10</v>
      </c>
      <c r="I62" s="90" t="s">
        <v>215</v>
      </c>
      <c r="J62" s="67"/>
      <c r="K62" s="67"/>
      <c r="L62" s="67"/>
      <c r="M62" s="67"/>
      <c r="N62" s="67"/>
      <c r="O62" s="67"/>
      <c r="P62" s="67"/>
      <c r="Q62" s="67"/>
      <c r="R62" s="67"/>
      <c r="S62" s="67"/>
      <c r="T62" s="67"/>
      <c r="U62" s="67"/>
      <c r="V62" s="67"/>
      <c r="W62" s="67"/>
      <c r="X62" s="67"/>
      <c r="Y62" s="67"/>
      <c r="Z62" s="67"/>
      <c r="AA62" s="56"/>
    </row>
    <row r="63" spans="1:27" x14ac:dyDescent="0.3">
      <c r="A63" s="75"/>
      <c r="B63" s="67"/>
      <c r="C63" s="67"/>
      <c r="D63" s="67"/>
      <c r="E63" s="67"/>
      <c r="F63" s="67"/>
      <c r="G63" s="68"/>
      <c r="H63" s="119"/>
      <c r="I63" s="77"/>
      <c r="J63" s="67"/>
      <c r="K63" s="67"/>
      <c r="L63" s="67"/>
      <c r="M63" s="67"/>
      <c r="N63" s="67"/>
      <c r="O63" s="67"/>
      <c r="P63" s="67"/>
      <c r="Q63" s="67"/>
      <c r="R63" s="67"/>
      <c r="S63" s="67"/>
      <c r="T63" s="67"/>
      <c r="U63" s="67"/>
      <c r="V63" s="67"/>
      <c r="W63" s="67"/>
      <c r="X63" s="67"/>
      <c r="Y63" s="67"/>
      <c r="Z63" s="67"/>
      <c r="AA63" s="56"/>
    </row>
    <row r="64" spans="1:27" x14ac:dyDescent="0.3">
      <c r="A64" s="75"/>
      <c r="B64" s="67"/>
      <c r="C64" s="67"/>
      <c r="D64" s="67"/>
      <c r="E64" s="67"/>
      <c r="F64" s="67"/>
      <c r="G64" s="68"/>
      <c r="H64" s="119"/>
      <c r="I64" s="77"/>
      <c r="J64" s="67"/>
      <c r="K64" s="67"/>
      <c r="L64" s="67"/>
      <c r="M64" s="67"/>
      <c r="N64" s="67"/>
      <c r="O64" s="67"/>
      <c r="P64" s="67"/>
      <c r="Q64" s="67"/>
      <c r="R64" s="67"/>
      <c r="S64" s="67"/>
      <c r="T64" s="67"/>
      <c r="U64" s="67"/>
      <c r="V64" s="67"/>
      <c r="W64" s="67"/>
      <c r="X64" s="67"/>
      <c r="Y64" s="67"/>
      <c r="Z64" s="67"/>
      <c r="AA64" s="56"/>
    </row>
    <row r="65" spans="1:27" x14ac:dyDescent="0.3">
      <c r="A65" s="75"/>
      <c r="B65" s="67"/>
      <c r="C65" s="67"/>
      <c r="D65" s="67"/>
      <c r="E65" s="67"/>
      <c r="F65" s="67"/>
      <c r="G65" s="68" t="s">
        <v>550</v>
      </c>
      <c r="H65" s="220">
        <f>fcross_est/1000</f>
        <v>28.820518133968882</v>
      </c>
      <c r="I65" s="77" t="s">
        <v>12</v>
      </c>
      <c r="J65" s="67"/>
      <c r="K65" s="67"/>
      <c r="L65" s="67"/>
      <c r="M65" s="67"/>
      <c r="N65" s="67"/>
      <c r="O65" s="67"/>
      <c r="P65" s="67"/>
      <c r="Q65" s="67"/>
      <c r="R65" s="67"/>
      <c r="S65" s="67"/>
      <c r="T65" s="67"/>
      <c r="U65" s="67"/>
      <c r="V65" s="67"/>
      <c r="W65" s="67"/>
      <c r="X65" s="67"/>
      <c r="Y65" s="67"/>
      <c r="Z65" s="67"/>
      <c r="AA65" s="56"/>
    </row>
    <row r="66" spans="1:27" ht="16.2" x14ac:dyDescent="0.35">
      <c r="A66" s="75"/>
      <c r="B66" s="67"/>
      <c r="C66" s="67"/>
      <c r="D66" s="67"/>
      <c r="E66" s="67"/>
      <c r="F66" s="67"/>
      <c r="G66" s="68" t="s">
        <v>551</v>
      </c>
      <c r="H66" s="117">
        <v>20</v>
      </c>
      <c r="I66" s="77" t="s">
        <v>12</v>
      </c>
      <c r="J66" s="67"/>
      <c r="K66" s="67"/>
      <c r="L66" s="67"/>
      <c r="M66" s="67"/>
      <c r="N66" s="67"/>
      <c r="O66" s="67"/>
      <c r="P66" s="67"/>
      <c r="Q66" s="67"/>
      <c r="R66" s="67"/>
      <c r="S66" s="67"/>
      <c r="T66" s="67"/>
      <c r="U66" s="67"/>
      <c r="V66" s="67"/>
      <c r="W66" s="67"/>
      <c r="X66" s="67"/>
      <c r="Y66" s="67"/>
      <c r="Z66" s="67"/>
      <c r="AA66" s="56"/>
    </row>
    <row r="67" spans="1:27" x14ac:dyDescent="0.3">
      <c r="A67" s="75"/>
      <c r="B67" s="67"/>
      <c r="C67" s="67"/>
      <c r="D67" s="67"/>
      <c r="E67" s="67"/>
      <c r="F67" s="67"/>
      <c r="G67" s="68"/>
      <c r="H67" s="119"/>
      <c r="I67" s="77"/>
      <c r="J67" s="67"/>
      <c r="K67" s="67"/>
      <c r="L67" s="67" t="str">
        <f>Loop_Modeling!A68</f>
        <v>Crossover Frequency = 2.4 kHz</v>
      </c>
      <c r="M67" s="67"/>
      <c r="N67" s="67"/>
      <c r="O67" s="67"/>
      <c r="P67" s="67"/>
      <c r="Q67" s="67"/>
      <c r="R67" s="67"/>
      <c r="S67" s="67"/>
      <c r="T67" s="67"/>
      <c r="U67" s="67"/>
      <c r="V67" s="67"/>
      <c r="W67" s="67"/>
      <c r="X67" s="67"/>
      <c r="Y67" s="67"/>
      <c r="Z67" s="67"/>
      <c r="AA67" s="56"/>
    </row>
    <row r="68" spans="1:27" ht="15.6" thickBot="1" x14ac:dyDescent="0.35">
      <c r="A68" s="75"/>
      <c r="B68" s="67"/>
      <c r="C68" s="67"/>
      <c r="D68" s="67"/>
      <c r="E68" s="67"/>
      <c r="F68" s="99" t="s">
        <v>323</v>
      </c>
      <c r="G68" s="99"/>
      <c r="H68" s="130" t="s">
        <v>324</v>
      </c>
      <c r="I68" s="100"/>
      <c r="J68" s="67"/>
      <c r="K68" s="67"/>
      <c r="L68" s="67" t="str">
        <f>Loop_Modeling!A69</f>
        <v>Phase Margin = 76°</v>
      </c>
      <c r="M68" s="67"/>
      <c r="N68" s="67"/>
      <c r="O68" s="67"/>
      <c r="P68" s="67"/>
      <c r="Q68" s="67"/>
      <c r="R68" s="67"/>
      <c r="S68" s="67"/>
      <c r="T68" s="67"/>
      <c r="U68" s="67"/>
      <c r="V68" s="67"/>
      <c r="W68" s="67"/>
      <c r="X68" s="67"/>
      <c r="Y68" s="67"/>
      <c r="Z68" s="67"/>
      <c r="AA68" s="56"/>
    </row>
    <row r="69" spans="1:27" ht="16.8" thickBot="1" x14ac:dyDescent="0.4">
      <c r="A69" s="75"/>
      <c r="B69" s="67"/>
      <c r="C69" s="67"/>
      <c r="D69" s="67"/>
      <c r="E69" s="68" t="s">
        <v>322</v>
      </c>
      <c r="F69" s="141">
        <f>Rcomp_calc/1000</f>
        <v>97.243980720299447</v>
      </c>
      <c r="G69" s="135" t="s">
        <v>215</v>
      </c>
      <c r="H69" s="132">
        <v>10</v>
      </c>
      <c r="I69" s="90" t="s">
        <v>215</v>
      </c>
      <c r="J69" s="67"/>
      <c r="K69" s="67"/>
      <c r="L69" s="67"/>
      <c r="M69" s="67"/>
      <c r="N69" s="67"/>
      <c r="O69" s="67"/>
      <c r="P69" s="67"/>
      <c r="Q69" s="67"/>
      <c r="R69" s="67"/>
      <c r="S69" s="67"/>
      <c r="T69" s="67"/>
      <c r="U69" s="67"/>
      <c r="V69" s="67"/>
      <c r="W69" s="67"/>
      <c r="X69" s="67"/>
      <c r="Y69" s="67"/>
      <c r="Z69" s="67"/>
      <c r="AA69" s="56"/>
    </row>
    <row r="70" spans="1:27" ht="16.8" thickBot="1" x14ac:dyDescent="0.4">
      <c r="A70" s="75"/>
      <c r="B70" s="67"/>
      <c r="C70" s="67"/>
      <c r="D70" s="67"/>
      <c r="E70" s="68" t="s">
        <v>448</v>
      </c>
      <c r="F70" s="133">
        <f>CComp_calc*(10^9)</f>
        <v>1.4614304377651028</v>
      </c>
      <c r="G70" s="135" t="s">
        <v>218</v>
      </c>
      <c r="H70" s="132">
        <v>68</v>
      </c>
      <c r="I70" s="77" t="s">
        <v>218</v>
      </c>
      <c r="J70" s="67"/>
      <c r="K70" s="67"/>
      <c r="L70" s="67"/>
      <c r="M70" s="67"/>
      <c r="N70" s="67"/>
      <c r="O70" s="67"/>
      <c r="P70" s="67"/>
      <c r="Q70" s="67"/>
      <c r="R70" s="67"/>
      <c r="S70" s="67"/>
      <c r="T70" s="67"/>
      <c r="U70" s="67"/>
      <c r="V70" s="67"/>
      <c r="W70" s="67"/>
      <c r="X70" s="67"/>
      <c r="Y70" s="67"/>
      <c r="Z70" s="67"/>
      <c r="AA70" s="56"/>
    </row>
    <row r="71" spans="1:27" ht="16.8" thickBot="1" x14ac:dyDescent="0.4">
      <c r="A71" s="88"/>
      <c r="B71" s="83"/>
      <c r="C71" s="83"/>
      <c r="D71" s="83"/>
      <c r="E71" s="91" t="s">
        <v>449</v>
      </c>
      <c r="F71" s="131">
        <f>Variable_Management!B231*(10^12)</f>
        <v>11.446532290384427</v>
      </c>
      <c r="G71" s="136" t="s">
        <v>217</v>
      </c>
      <c r="H71" s="124">
        <v>1000</v>
      </c>
      <c r="I71" s="85" t="s">
        <v>217</v>
      </c>
      <c r="J71" s="67"/>
      <c r="K71" s="67"/>
      <c r="L71" s="67"/>
      <c r="M71" s="67"/>
      <c r="N71" s="67"/>
      <c r="O71" s="67"/>
      <c r="P71" s="67"/>
      <c r="Q71" s="67"/>
      <c r="R71" s="67"/>
      <c r="S71" s="67"/>
      <c r="T71" s="67"/>
      <c r="U71" s="67"/>
      <c r="V71" s="67"/>
      <c r="W71" s="67"/>
      <c r="X71" s="67"/>
      <c r="Y71" s="67"/>
      <c r="Z71" s="67"/>
      <c r="AA71" s="56"/>
    </row>
    <row r="72" spans="1:27" x14ac:dyDescent="0.3">
      <c r="A72" s="67"/>
      <c r="B72" s="67"/>
      <c r="C72" s="67"/>
      <c r="D72" s="67"/>
      <c r="E72" s="68"/>
      <c r="F72" s="101"/>
      <c r="G72" s="68"/>
      <c r="H72" s="98"/>
      <c r="I72" s="67"/>
      <c r="J72" s="67"/>
      <c r="K72" s="67"/>
      <c r="L72" s="67"/>
      <c r="M72" s="67"/>
      <c r="N72" s="67"/>
      <c r="O72" s="67"/>
      <c r="P72" s="67"/>
      <c r="Q72" s="67"/>
      <c r="R72" s="67"/>
      <c r="S72" s="67"/>
      <c r="T72" s="67"/>
      <c r="U72" s="67"/>
      <c r="V72" s="67"/>
      <c r="W72" s="67"/>
      <c r="X72" s="67"/>
      <c r="Y72" s="67"/>
      <c r="Z72" s="67"/>
      <c r="AA72" s="56"/>
    </row>
    <row r="73" spans="1:27" ht="24.6" x14ac:dyDescent="0.45">
      <c r="A73" s="102" t="s">
        <v>321</v>
      </c>
      <c r="B73" s="103"/>
      <c r="C73" s="103"/>
      <c r="D73" s="103"/>
      <c r="E73" s="103"/>
      <c r="F73" s="103"/>
      <c r="G73" s="104"/>
      <c r="H73" s="103"/>
      <c r="I73" s="103"/>
      <c r="J73" s="103"/>
      <c r="K73" s="103"/>
      <c r="L73" s="103"/>
      <c r="M73" s="103"/>
      <c r="N73" s="103"/>
      <c r="O73" s="103"/>
      <c r="P73" s="103"/>
      <c r="Q73" s="103"/>
      <c r="R73" s="103"/>
      <c r="S73" s="103"/>
      <c r="T73" s="105"/>
      <c r="U73" s="105"/>
      <c r="V73" s="105"/>
      <c r="W73" s="105"/>
      <c r="X73" s="105"/>
      <c r="Y73" s="105"/>
      <c r="Z73" s="105"/>
    </row>
    <row r="74" spans="1:27" x14ac:dyDescent="0.3">
      <c r="A74" s="67"/>
      <c r="B74" s="67"/>
      <c r="C74" s="67"/>
      <c r="D74" s="67"/>
      <c r="E74" s="67"/>
      <c r="F74" s="67"/>
      <c r="G74" s="67"/>
      <c r="H74" s="67"/>
      <c r="I74" s="67"/>
      <c r="J74" s="67"/>
      <c r="K74" s="67"/>
      <c r="L74" s="67"/>
      <c r="M74" s="67"/>
      <c r="N74" s="67"/>
      <c r="O74" s="67"/>
      <c r="P74" s="67"/>
      <c r="Q74" s="67"/>
      <c r="R74" s="67"/>
      <c r="S74" s="67"/>
      <c r="T74" s="67"/>
      <c r="U74" s="67"/>
      <c r="V74" s="67"/>
      <c r="W74" s="67"/>
      <c r="X74" s="67"/>
      <c r="Y74" s="67"/>
      <c r="Z74" s="67"/>
      <c r="AA74" s="56"/>
    </row>
    <row r="75" spans="1:27" ht="15.6" thickBot="1" x14ac:dyDescent="0.35">
      <c r="A75" s="106" t="s">
        <v>399</v>
      </c>
      <c r="B75" s="67"/>
      <c r="C75" s="67"/>
      <c r="D75" s="67"/>
      <c r="E75" s="67"/>
      <c r="F75" s="67"/>
      <c r="G75" s="67"/>
      <c r="H75" s="67"/>
      <c r="I75" s="67"/>
      <c r="J75" s="67"/>
      <c r="K75" s="67"/>
      <c r="L75" s="67"/>
      <c r="M75" s="67"/>
      <c r="N75" s="67"/>
      <c r="O75" s="67"/>
      <c r="P75" s="67"/>
      <c r="Q75" s="67"/>
      <c r="R75" s="67"/>
      <c r="S75" s="67"/>
      <c r="T75" s="67"/>
      <c r="U75" s="67"/>
      <c r="V75" s="67"/>
      <c r="W75" s="67"/>
      <c r="X75" s="67"/>
      <c r="Y75" s="67"/>
      <c r="Z75" s="67"/>
      <c r="AA75" s="56"/>
    </row>
    <row r="76" spans="1:27" ht="15.6" x14ac:dyDescent="0.35">
      <c r="A76" s="71"/>
      <c r="B76" s="72"/>
      <c r="C76" s="72"/>
      <c r="D76" s="72"/>
      <c r="E76" s="72"/>
      <c r="F76" s="72"/>
      <c r="G76" s="107" t="s">
        <v>387</v>
      </c>
      <c r="H76" s="116">
        <v>4.5999999999999996</v>
      </c>
      <c r="I76" s="108" t="s">
        <v>394</v>
      </c>
      <c r="J76" s="98"/>
      <c r="K76" s="98"/>
      <c r="L76" s="98"/>
      <c r="M76" s="98"/>
      <c r="N76" s="98"/>
      <c r="O76" s="98"/>
      <c r="P76" s="98"/>
      <c r="Q76" s="98"/>
      <c r="R76" s="98"/>
      <c r="S76" s="98"/>
      <c r="T76" s="98"/>
      <c r="U76" s="98"/>
      <c r="V76" s="98"/>
      <c r="W76" s="98"/>
      <c r="X76" s="98"/>
      <c r="Y76" s="98"/>
      <c r="Z76" s="98"/>
      <c r="AA76" s="56"/>
    </row>
    <row r="77" spans="1:27" ht="15.6" x14ac:dyDescent="0.35">
      <c r="A77" s="96"/>
      <c r="B77" s="67"/>
      <c r="C77" s="67"/>
      <c r="D77" s="67"/>
      <c r="E77" s="67"/>
      <c r="F77" s="67"/>
      <c r="G77" s="109" t="s">
        <v>388</v>
      </c>
      <c r="H77" s="117">
        <v>39.4</v>
      </c>
      <c r="I77" s="110" t="s">
        <v>395</v>
      </c>
      <c r="J77" s="98"/>
      <c r="K77" s="98"/>
      <c r="L77" s="98"/>
      <c r="M77" s="98"/>
      <c r="N77" s="98"/>
      <c r="O77" s="98"/>
      <c r="P77" s="98"/>
      <c r="Q77" s="98"/>
      <c r="R77" s="98"/>
      <c r="S77" s="98"/>
      <c r="T77" s="98"/>
      <c r="U77" s="98"/>
      <c r="V77" s="98"/>
      <c r="W77" s="98"/>
      <c r="X77" s="98"/>
      <c r="Y77" s="98"/>
      <c r="Z77" s="98"/>
      <c r="AA77" s="56"/>
    </row>
    <row r="78" spans="1:27" ht="15.6" x14ac:dyDescent="0.35">
      <c r="A78" s="96"/>
      <c r="B78" s="67"/>
      <c r="C78" s="67"/>
      <c r="D78" s="67"/>
      <c r="E78" s="67"/>
      <c r="F78" s="67"/>
      <c r="G78" s="109" t="s">
        <v>389</v>
      </c>
      <c r="H78" s="117">
        <v>11.1</v>
      </c>
      <c r="I78" s="110" t="s">
        <v>395</v>
      </c>
      <c r="J78" s="98"/>
      <c r="K78" s="98"/>
      <c r="L78" s="98"/>
      <c r="M78" s="98"/>
      <c r="N78" s="98"/>
      <c r="O78" s="98"/>
      <c r="P78" s="98"/>
      <c r="Q78" s="98"/>
      <c r="R78" s="98"/>
      <c r="S78" s="98"/>
      <c r="T78" s="98"/>
      <c r="U78" s="98"/>
      <c r="V78" s="98"/>
      <c r="W78" s="98"/>
      <c r="X78" s="98"/>
      <c r="Y78" s="98"/>
      <c r="Z78" s="98"/>
      <c r="AA78" s="56"/>
    </row>
    <row r="79" spans="1:27" ht="15.6" x14ac:dyDescent="0.35">
      <c r="A79" s="75"/>
      <c r="B79" s="67"/>
      <c r="C79" s="67"/>
      <c r="D79" s="67"/>
      <c r="E79" s="67"/>
      <c r="F79" s="67"/>
      <c r="G79" s="109" t="s">
        <v>390</v>
      </c>
      <c r="H79" s="117">
        <v>12.3</v>
      </c>
      <c r="I79" s="110" t="s">
        <v>395</v>
      </c>
      <c r="J79" s="98"/>
      <c r="K79" s="98"/>
      <c r="L79" s="98"/>
      <c r="M79" s="98"/>
      <c r="N79" s="98"/>
      <c r="O79" s="98"/>
      <c r="P79" s="98"/>
      <c r="Q79" s="98"/>
      <c r="R79" s="98"/>
      <c r="S79" s="98"/>
      <c r="T79" s="98"/>
      <c r="U79" s="98"/>
      <c r="V79" s="98"/>
      <c r="W79" s="98"/>
      <c r="X79" s="98"/>
      <c r="Y79" s="98"/>
      <c r="Z79" s="98"/>
      <c r="AA79" s="56"/>
    </row>
    <row r="80" spans="1:27" ht="15.6" x14ac:dyDescent="0.35">
      <c r="A80" s="75"/>
      <c r="B80" s="67"/>
      <c r="C80" s="67"/>
      <c r="D80" s="67"/>
      <c r="E80" s="67"/>
      <c r="F80" s="67"/>
      <c r="G80" s="109" t="s">
        <v>391</v>
      </c>
      <c r="H80" s="117">
        <v>1.5</v>
      </c>
      <c r="I80" s="110" t="s">
        <v>396</v>
      </c>
      <c r="J80" s="98"/>
      <c r="K80" s="98"/>
      <c r="L80" s="98"/>
      <c r="M80" s="98"/>
      <c r="N80" s="98"/>
      <c r="O80" s="98"/>
      <c r="P80" s="98"/>
      <c r="Q80" s="98"/>
      <c r="R80" s="98"/>
      <c r="S80" s="98"/>
      <c r="T80" s="98"/>
      <c r="U80" s="98"/>
      <c r="V80" s="98"/>
      <c r="W80" s="98"/>
      <c r="X80" s="98"/>
      <c r="Y80" s="98"/>
      <c r="Z80" s="98"/>
      <c r="AA80" s="56"/>
    </row>
    <row r="81" spans="1:27" ht="15.6" x14ac:dyDescent="0.35">
      <c r="A81" s="75"/>
      <c r="B81" s="67"/>
      <c r="C81" s="67"/>
      <c r="D81" s="67"/>
      <c r="E81" s="67"/>
      <c r="F81" s="67"/>
      <c r="G81" s="109" t="s">
        <v>392</v>
      </c>
      <c r="H81" s="117">
        <v>60</v>
      </c>
      <c r="I81" s="110" t="s">
        <v>397</v>
      </c>
      <c r="J81" s="98"/>
      <c r="K81" s="98"/>
      <c r="L81" s="98"/>
      <c r="M81" s="98"/>
      <c r="N81" s="98"/>
      <c r="O81" s="98"/>
      <c r="P81" s="98"/>
      <c r="Q81" s="98"/>
      <c r="R81" s="98"/>
      <c r="S81" s="98"/>
      <c r="T81" s="98"/>
      <c r="U81" s="98"/>
      <c r="V81" s="98"/>
      <c r="W81" s="98"/>
      <c r="X81" s="98"/>
      <c r="Y81" s="98"/>
      <c r="Z81" s="98"/>
      <c r="AA81" s="56"/>
    </row>
    <row r="82" spans="1:27" ht="16.2" thickBot="1" x14ac:dyDescent="0.4">
      <c r="A82" s="88"/>
      <c r="B82" s="83"/>
      <c r="C82" s="83"/>
      <c r="D82" s="83"/>
      <c r="E82" s="83"/>
      <c r="F82" s="83"/>
      <c r="G82" s="111" t="s">
        <v>393</v>
      </c>
      <c r="H82" s="124">
        <v>1.7</v>
      </c>
      <c r="I82" s="112" t="s">
        <v>10</v>
      </c>
      <c r="J82" s="98"/>
      <c r="K82" s="98"/>
      <c r="L82" s="98"/>
      <c r="M82" s="98"/>
      <c r="N82" s="98"/>
      <c r="O82" s="98"/>
      <c r="P82" s="98"/>
      <c r="Q82" s="98"/>
      <c r="R82" s="98"/>
      <c r="S82" s="98"/>
      <c r="T82" s="98"/>
      <c r="U82" s="98"/>
      <c r="V82" s="98"/>
      <c r="W82" s="98"/>
      <c r="X82" s="98"/>
      <c r="Y82" s="98"/>
      <c r="Z82" s="98"/>
      <c r="AA82" s="56"/>
    </row>
    <row r="83" spans="1:27" x14ac:dyDescent="0.3">
      <c r="A83" s="67"/>
      <c r="B83" s="67"/>
      <c r="C83" s="67"/>
      <c r="D83" s="67"/>
      <c r="E83" s="67"/>
      <c r="F83" s="67"/>
      <c r="G83" s="68"/>
      <c r="H83" s="67"/>
      <c r="I83" s="67"/>
      <c r="J83" s="67"/>
      <c r="K83" s="67"/>
      <c r="L83" s="67"/>
      <c r="M83" s="67"/>
      <c r="N83" s="67"/>
      <c r="O83" s="67"/>
      <c r="P83" s="67"/>
      <c r="Q83" s="67"/>
      <c r="R83" s="67"/>
      <c r="S83" s="67"/>
      <c r="T83" s="67"/>
      <c r="U83" s="67"/>
      <c r="V83" s="67"/>
      <c r="W83" s="67"/>
      <c r="X83" s="67"/>
      <c r="Y83" s="67"/>
      <c r="Z83" s="67"/>
      <c r="AA83" s="56"/>
    </row>
    <row r="84" spans="1:27" ht="15.6" thickBot="1" x14ac:dyDescent="0.35">
      <c r="A84" s="106" t="s">
        <v>398</v>
      </c>
      <c r="B84" s="67"/>
      <c r="C84" s="67"/>
      <c r="D84" s="67"/>
      <c r="E84" s="67"/>
      <c r="F84" s="67"/>
      <c r="G84" s="68"/>
      <c r="H84" s="67"/>
      <c r="I84" s="67"/>
      <c r="J84" s="67"/>
      <c r="K84" s="67"/>
      <c r="L84" s="67"/>
      <c r="M84" s="67"/>
      <c r="N84" s="67"/>
      <c r="O84" s="67"/>
      <c r="P84" s="67"/>
      <c r="Q84" s="67"/>
      <c r="R84" s="67"/>
      <c r="S84" s="67"/>
      <c r="T84" s="67"/>
      <c r="U84" s="67"/>
      <c r="V84" s="67"/>
      <c r="W84" s="67"/>
      <c r="X84" s="67"/>
      <c r="Y84" s="67"/>
      <c r="Z84" s="67"/>
      <c r="AA84" s="56"/>
    </row>
    <row r="85" spans="1:27" ht="16.2" x14ac:dyDescent="0.35">
      <c r="A85" s="71"/>
      <c r="B85" s="72"/>
      <c r="C85" s="72"/>
      <c r="D85" s="72"/>
      <c r="E85" s="72"/>
      <c r="F85" s="72"/>
      <c r="G85" s="93" t="s">
        <v>492</v>
      </c>
      <c r="H85" s="134">
        <f>IOUT</f>
        <v>0.5</v>
      </c>
      <c r="I85" s="74" t="s">
        <v>11</v>
      </c>
      <c r="J85" s="98"/>
      <c r="K85" s="98"/>
      <c r="L85" s="98"/>
      <c r="M85" s="98"/>
      <c r="N85" s="98"/>
      <c r="O85" s="98"/>
      <c r="P85" s="98"/>
      <c r="Q85" s="98"/>
      <c r="R85" s="98"/>
      <c r="S85" s="98"/>
      <c r="T85" s="98"/>
      <c r="U85" s="98"/>
      <c r="V85" s="98"/>
      <c r="W85" s="98"/>
      <c r="X85" s="98"/>
      <c r="Y85" s="98"/>
      <c r="Z85" s="98"/>
      <c r="AA85" s="56"/>
    </row>
    <row r="86" spans="1:27" ht="16.2" x14ac:dyDescent="0.35">
      <c r="A86" s="75"/>
      <c r="B86" s="67"/>
      <c r="C86" s="67"/>
      <c r="D86" s="67"/>
      <c r="E86" s="67"/>
      <c r="F86" s="67"/>
      <c r="G86" s="68" t="s">
        <v>400</v>
      </c>
      <c r="H86" s="117">
        <v>450</v>
      </c>
      <c r="I86" s="77" t="s">
        <v>186</v>
      </c>
      <c r="J86" s="98"/>
      <c r="K86" s="98"/>
      <c r="L86" s="98"/>
      <c r="M86" s="98"/>
      <c r="N86" s="98"/>
      <c r="O86" s="98"/>
      <c r="P86" s="98"/>
      <c r="Q86" s="98"/>
      <c r="R86" s="98"/>
      <c r="S86" s="98"/>
      <c r="T86" s="98"/>
      <c r="U86" s="98"/>
      <c r="V86" s="98"/>
      <c r="W86" s="98"/>
      <c r="X86" s="98"/>
      <c r="Y86" s="98"/>
      <c r="Z86" s="98"/>
      <c r="AA86" s="56"/>
    </row>
    <row r="87" spans="1:27" ht="15.6" thickBot="1" x14ac:dyDescent="0.35">
      <c r="A87" s="88"/>
      <c r="B87" s="83"/>
      <c r="C87" s="83"/>
      <c r="D87" s="83"/>
      <c r="E87" s="83"/>
      <c r="F87" s="83"/>
      <c r="G87" s="91" t="s">
        <v>408</v>
      </c>
      <c r="H87" s="124">
        <v>10</v>
      </c>
      <c r="I87" s="85" t="s">
        <v>395</v>
      </c>
      <c r="J87" s="98"/>
      <c r="K87" s="98"/>
      <c r="L87" s="98"/>
      <c r="M87" s="98"/>
      <c r="N87" s="98"/>
      <c r="O87" s="98"/>
      <c r="P87" s="98"/>
      <c r="Q87" s="98"/>
      <c r="R87" s="98"/>
      <c r="S87" s="98"/>
      <c r="T87" s="98"/>
      <c r="U87" s="98"/>
      <c r="V87" s="98"/>
      <c r="W87" s="98"/>
      <c r="X87" s="98"/>
      <c r="Y87" s="98"/>
      <c r="Z87" s="98"/>
      <c r="AA87" s="56"/>
    </row>
    <row r="88" spans="1:27" x14ac:dyDescent="0.3">
      <c r="A88" s="67"/>
      <c r="B88" s="67"/>
      <c r="C88" s="67"/>
      <c r="D88" s="67"/>
      <c r="E88" s="67"/>
      <c r="F88" s="67"/>
      <c r="G88" s="68"/>
      <c r="H88" s="67"/>
      <c r="I88" s="67"/>
      <c r="J88" s="67"/>
      <c r="K88" s="67"/>
      <c r="L88" s="67"/>
      <c r="M88" s="67"/>
      <c r="N88" s="67"/>
      <c r="O88" s="67"/>
      <c r="P88" s="67"/>
      <c r="Q88" s="67"/>
      <c r="R88" s="67"/>
      <c r="S88" s="67"/>
      <c r="T88" s="67"/>
      <c r="U88" s="67"/>
      <c r="V88" s="67"/>
      <c r="W88" s="67"/>
      <c r="X88" s="67"/>
      <c r="Y88" s="67"/>
      <c r="Z88" s="67"/>
      <c r="AA88" s="56"/>
    </row>
    <row r="89" spans="1:27" x14ac:dyDescent="0.3">
      <c r="A89" s="67"/>
      <c r="B89" s="67"/>
      <c r="C89" s="67"/>
      <c r="D89" s="67"/>
      <c r="E89" s="67"/>
      <c r="F89" s="67"/>
      <c r="G89" s="68"/>
      <c r="H89" s="67"/>
      <c r="I89" s="67"/>
      <c r="J89" s="67"/>
      <c r="K89" s="67"/>
      <c r="L89" s="67"/>
      <c r="M89" s="67"/>
      <c r="N89" s="67"/>
      <c r="O89" s="67"/>
      <c r="P89" s="67"/>
      <c r="Q89" s="67"/>
      <c r="R89" s="67"/>
      <c r="S89" s="67"/>
      <c r="T89" s="67"/>
      <c r="U89" s="67"/>
      <c r="V89" s="67"/>
      <c r="W89" s="67"/>
      <c r="X89" s="67"/>
      <c r="Y89" s="67"/>
      <c r="Z89" s="67"/>
      <c r="AA89" s="56"/>
    </row>
    <row r="90" spans="1:27" x14ac:dyDescent="0.3">
      <c r="A90" s="67"/>
      <c r="B90" s="67"/>
      <c r="C90" s="67"/>
      <c r="D90" s="67"/>
      <c r="E90" s="67"/>
      <c r="F90" s="67"/>
      <c r="G90" s="68"/>
      <c r="H90" s="67"/>
      <c r="I90" s="67"/>
      <c r="J90" s="67"/>
      <c r="K90" s="67"/>
      <c r="L90" s="67"/>
      <c r="M90" s="67"/>
      <c r="N90" s="67"/>
      <c r="O90" s="67"/>
      <c r="P90" s="67"/>
      <c r="Q90" s="67"/>
      <c r="R90" s="67"/>
      <c r="S90" s="67"/>
      <c r="T90" s="67"/>
      <c r="U90" s="67"/>
      <c r="V90" s="67"/>
      <c r="W90" s="67"/>
      <c r="X90" s="67"/>
      <c r="Y90" s="67"/>
      <c r="Z90" s="67"/>
      <c r="AA90" s="56"/>
    </row>
    <row r="91" spans="1:27" x14ac:dyDescent="0.3">
      <c r="A91" s="67"/>
      <c r="B91" s="67"/>
      <c r="C91" s="67"/>
      <c r="D91" s="67"/>
      <c r="E91" s="67"/>
      <c r="F91" s="67"/>
      <c r="G91" s="68"/>
      <c r="H91" s="67"/>
      <c r="I91" s="67"/>
      <c r="J91" s="67"/>
      <c r="K91" s="67"/>
      <c r="L91" s="67"/>
      <c r="M91" s="67"/>
      <c r="N91" s="67"/>
      <c r="O91" s="67"/>
      <c r="P91" s="67"/>
      <c r="Q91" s="67"/>
      <c r="R91" s="67"/>
      <c r="S91" s="67"/>
      <c r="T91" s="67"/>
      <c r="U91" s="67"/>
      <c r="V91" s="67"/>
      <c r="W91" s="67"/>
      <c r="X91" s="67"/>
      <c r="Y91" s="67"/>
      <c r="Z91" s="67"/>
      <c r="AA91" s="56"/>
    </row>
    <row r="92" spans="1:27" x14ac:dyDescent="0.3">
      <c r="A92" s="67"/>
      <c r="B92" s="67"/>
      <c r="C92" s="67"/>
      <c r="D92" s="67"/>
      <c r="E92" s="67"/>
      <c r="F92" s="67"/>
      <c r="G92" s="68"/>
      <c r="H92" s="67"/>
      <c r="I92" s="67"/>
      <c r="J92" s="67"/>
      <c r="K92" s="67"/>
      <c r="L92" s="67"/>
      <c r="M92" s="67"/>
      <c r="N92" s="67"/>
      <c r="O92" s="67"/>
      <c r="P92" s="67"/>
      <c r="Q92" s="67"/>
      <c r="R92" s="67"/>
      <c r="S92" s="67"/>
      <c r="T92" s="67"/>
      <c r="U92" s="67"/>
      <c r="V92" s="67"/>
      <c r="W92" s="67"/>
      <c r="X92" s="67"/>
      <c r="Y92" s="67"/>
      <c r="Z92" s="67"/>
      <c r="AA92" s="56"/>
    </row>
    <row r="93" spans="1:27" x14ac:dyDescent="0.3">
      <c r="A93" s="67"/>
      <c r="B93" s="67"/>
      <c r="C93" s="67"/>
      <c r="D93" s="67"/>
      <c r="E93" s="67"/>
      <c r="F93" s="67"/>
      <c r="G93" s="68"/>
      <c r="H93" s="67"/>
      <c r="I93" s="67"/>
      <c r="J93" s="67"/>
      <c r="K93" s="67"/>
      <c r="L93" s="67"/>
      <c r="M93" s="67"/>
      <c r="N93" s="67"/>
      <c r="O93" s="67"/>
      <c r="P93" s="67"/>
      <c r="Q93" s="67"/>
      <c r="R93" s="67"/>
      <c r="S93" s="67"/>
      <c r="T93" s="67"/>
      <c r="U93" s="67"/>
      <c r="V93" s="67"/>
      <c r="W93" s="67"/>
      <c r="X93" s="67"/>
      <c r="Y93" s="67"/>
      <c r="Z93" s="67"/>
      <c r="AA93" s="56"/>
    </row>
    <row r="94" spans="1:27" x14ac:dyDescent="0.3">
      <c r="A94" s="67"/>
      <c r="B94" s="67"/>
      <c r="C94" s="67"/>
      <c r="D94" s="67"/>
      <c r="E94" s="67"/>
      <c r="F94" s="67"/>
      <c r="G94" s="68"/>
      <c r="H94" s="67"/>
      <c r="I94" s="67"/>
      <c r="J94" s="67"/>
      <c r="K94" s="67"/>
      <c r="L94" s="67"/>
      <c r="M94" s="67"/>
      <c r="N94" s="67"/>
      <c r="O94" s="67"/>
      <c r="P94" s="67"/>
      <c r="Q94" s="67"/>
      <c r="R94" s="67"/>
      <c r="S94" s="67"/>
      <c r="T94" s="67"/>
      <c r="U94" s="67"/>
      <c r="V94" s="67"/>
      <c r="W94" s="67"/>
      <c r="X94" s="67"/>
      <c r="Y94" s="67"/>
      <c r="Z94" s="67"/>
      <c r="AA94" s="56"/>
    </row>
    <row r="95" spans="1:27" x14ac:dyDescent="0.3">
      <c r="A95" s="67"/>
      <c r="B95" s="67"/>
      <c r="C95" s="67"/>
      <c r="D95" s="67"/>
      <c r="E95" s="67"/>
      <c r="F95" s="67"/>
      <c r="G95" s="68"/>
      <c r="H95" s="67"/>
      <c r="I95" s="67"/>
      <c r="J95" s="67"/>
      <c r="K95" s="67"/>
      <c r="L95" s="67"/>
      <c r="M95" s="67"/>
      <c r="N95" s="67"/>
      <c r="O95" s="67"/>
      <c r="P95" s="67"/>
      <c r="Q95" s="67"/>
      <c r="R95" s="67"/>
      <c r="S95" s="67"/>
      <c r="T95" s="67"/>
      <c r="U95" s="67"/>
      <c r="V95" s="67"/>
      <c r="W95" s="67"/>
      <c r="X95" s="67"/>
      <c r="Y95" s="67"/>
      <c r="Z95" s="67"/>
      <c r="AA95" s="56"/>
    </row>
    <row r="96" spans="1:27" x14ac:dyDescent="0.3">
      <c r="A96" s="67"/>
      <c r="B96" s="67"/>
      <c r="C96" s="67"/>
      <c r="D96" s="67"/>
      <c r="E96" s="67"/>
      <c r="F96" s="67"/>
      <c r="G96" s="68"/>
      <c r="H96" s="67"/>
      <c r="I96" s="67"/>
      <c r="J96" s="67"/>
      <c r="K96" s="67"/>
      <c r="L96" s="67"/>
      <c r="M96" s="67"/>
      <c r="N96" s="67"/>
      <c r="O96" s="67"/>
      <c r="P96" s="67"/>
      <c r="Q96" s="67"/>
      <c r="R96" s="67"/>
      <c r="S96" s="67"/>
      <c r="T96" s="67"/>
      <c r="U96" s="67"/>
      <c r="V96" s="67"/>
      <c r="W96" s="67"/>
      <c r="X96" s="67"/>
      <c r="Y96" s="67"/>
      <c r="Z96" s="67"/>
      <c r="AA96" s="56"/>
    </row>
    <row r="97" spans="1:27" x14ac:dyDescent="0.3">
      <c r="A97" s="67"/>
      <c r="B97" s="67"/>
      <c r="C97" s="67"/>
      <c r="D97" s="67"/>
      <c r="E97" s="67"/>
      <c r="F97" s="67"/>
      <c r="G97" s="68"/>
      <c r="H97" s="67"/>
      <c r="I97" s="67"/>
      <c r="J97" s="67"/>
      <c r="K97" s="67"/>
      <c r="L97" s="67"/>
      <c r="M97" s="67"/>
      <c r="N97" s="67"/>
      <c r="O97" s="67"/>
      <c r="P97" s="67"/>
      <c r="Q97" s="67"/>
      <c r="R97" s="67"/>
      <c r="S97" s="67"/>
      <c r="T97" s="67"/>
      <c r="U97" s="67"/>
      <c r="V97" s="67"/>
      <c r="W97" s="67"/>
      <c r="X97" s="67"/>
      <c r="Y97" s="67"/>
      <c r="Z97" s="67"/>
      <c r="AA97" s="56"/>
    </row>
    <row r="98" spans="1:27" x14ac:dyDescent="0.3">
      <c r="A98" s="67"/>
      <c r="B98" s="67"/>
      <c r="C98" s="67"/>
      <c r="D98" s="67"/>
      <c r="E98" s="67"/>
      <c r="F98" s="67"/>
      <c r="G98" s="68"/>
      <c r="H98" s="67"/>
      <c r="I98" s="67"/>
      <c r="J98" s="67"/>
      <c r="K98" s="67"/>
      <c r="L98" s="67"/>
      <c r="M98" s="67"/>
      <c r="N98" s="67"/>
      <c r="O98" s="67"/>
      <c r="P98" s="67"/>
      <c r="Q98" s="67"/>
      <c r="R98" s="67"/>
      <c r="S98" s="67"/>
      <c r="T98" s="67"/>
      <c r="U98" s="67"/>
      <c r="V98" s="67"/>
      <c r="W98" s="67"/>
      <c r="X98" s="67"/>
      <c r="Y98" s="67"/>
      <c r="Z98" s="67"/>
      <c r="AA98" s="56"/>
    </row>
    <row r="99" spans="1:27" x14ac:dyDescent="0.3">
      <c r="A99" s="67"/>
      <c r="B99" s="67"/>
      <c r="C99" s="67"/>
      <c r="D99" s="67"/>
      <c r="E99" s="67"/>
      <c r="F99" s="67"/>
      <c r="G99" s="68"/>
      <c r="H99" s="67"/>
      <c r="I99" s="67"/>
      <c r="J99" s="67"/>
      <c r="K99" s="67"/>
      <c r="L99" s="67"/>
      <c r="M99" s="67"/>
      <c r="N99" s="67"/>
      <c r="O99" s="67"/>
      <c r="P99" s="67"/>
      <c r="Q99" s="67"/>
      <c r="R99" s="67"/>
      <c r="S99" s="67"/>
      <c r="T99" s="67"/>
      <c r="U99" s="67"/>
      <c r="V99" s="67"/>
      <c r="W99" s="67"/>
      <c r="X99" s="67"/>
      <c r="Y99" s="67"/>
      <c r="Z99" s="67"/>
      <c r="AA99" s="56"/>
    </row>
    <row r="100" spans="1:27" x14ac:dyDescent="0.3">
      <c r="A100" s="58"/>
      <c r="B100" s="58"/>
      <c r="C100" s="58"/>
      <c r="D100" s="58"/>
      <c r="E100" s="58"/>
      <c r="F100" s="58"/>
      <c r="G100" s="59"/>
      <c r="H100" s="58"/>
      <c r="I100" s="58"/>
      <c r="J100" s="58"/>
      <c r="K100" s="58"/>
      <c r="L100" s="58"/>
      <c r="M100" s="58"/>
      <c r="N100" s="58"/>
      <c r="O100" s="58"/>
      <c r="P100" s="58"/>
      <c r="Q100" s="58"/>
      <c r="R100" s="58"/>
      <c r="S100" s="58"/>
      <c r="T100" s="58"/>
      <c r="U100" s="58"/>
      <c r="V100" s="58"/>
      <c r="W100" s="58"/>
      <c r="X100" s="58"/>
      <c r="Y100" s="58"/>
      <c r="Z100" s="58"/>
      <c r="AA100" s="56"/>
    </row>
  </sheetData>
  <sheetProtection algorithmName="SHA-512" hashValue="IUA5uLyW0mrRZkyPJKKIRFc3+5hN1b0hecgM8dzHCtjOUVEzhalBCWCXogf3HWMbmjeUOfL+5zp1szCxL2zuFA==" saltValue="VgYrN/Jn0z4UXKKRqvjtkQ==" spinCount="100000" sheet="1" objects="1" scenarios="1" selectLockedCells="1"/>
  <mergeCells count="1">
    <mergeCell ref="N3:O3"/>
  </mergeCells>
  <phoneticPr fontId="44" type="noConversion"/>
  <conditionalFormatting sqref="H7">
    <cfRule type="cellIs" dxfId="10" priority="2" operator="greaterThan">
      <formula>VIN_op_max_56</formula>
    </cfRule>
    <cfRule type="cellIs" dxfId="9" priority="17" operator="greaterThan">
      <formula>VIN_op_max</formula>
    </cfRule>
    <cfRule type="cellIs" dxfId="8" priority="18" operator="lessThan">
      <formula>VIN_op_min</formula>
    </cfRule>
  </conditionalFormatting>
  <conditionalFormatting sqref="H8">
    <cfRule type="cellIs" dxfId="7" priority="16" operator="notBetween">
      <formula>$H$7</formula>
      <formula>$H$9</formula>
    </cfRule>
  </conditionalFormatting>
  <conditionalFormatting sqref="H9">
    <cfRule type="cellIs" dxfId="6" priority="1" operator="greaterThan">
      <formula>VIN_op_max_56</formula>
    </cfRule>
    <cfRule type="cellIs" dxfId="5" priority="13" operator="greaterThan">
      <formula>VIN_op_max</formula>
    </cfRule>
    <cfRule type="cellIs" dxfId="4" priority="14" operator="lessThan">
      <formula>VIN_op_min</formula>
    </cfRule>
  </conditionalFormatting>
  <conditionalFormatting sqref="H17">
    <cfRule type="cellIs" dxfId="3" priority="6" operator="greaterThan">
      <formula>$H$16</formula>
    </cfRule>
  </conditionalFormatting>
  <conditionalFormatting sqref="H57">
    <cfRule type="expression" dxfId="1" priority="11">
      <formula>$H$8&gt;$H$9</formula>
    </cfRule>
    <cfRule type="expression" dxfId="0" priority="12">
      <formula>$H$8&lt;$H$7</formula>
    </cfRule>
  </conditionalFormatting>
  <dataValidations count="1">
    <dataValidation type="list" allowBlank="1" showInputMessage="1" showErrorMessage="1" sqref="H18" xr:uid="{B6CBC9E4-52B2-4FA8-BCFD-24B327448BB5}">
      <formula1>CondMode</formula1>
    </dataValidation>
  </dataValidations>
  <hyperlinks>
    <hyperlink ref="N3" location="About!A1" display="TERMS OF USE" xr:uid="{EE270A3B-8816-419E-84BC-D008FEAD0366}"/>
    <hyperlink ref="N3:O3" location="Licenses!A1" display="TERMS OF USE" xr:uid="{7B8CA94F-4734-4CAD-88EF-98DE4E41009B}"/>
  </hyperlinks>
  <pageMargins left="0.2" right="0.2" top="0.25" bottom="0.25" header="0" footer="0"/>
  <pageSetup paperSize="9" scale="44"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70" r:id="rId4" name="Drop Down 146">
              <controlPr defaultSize="0" print="0" autoLine="0" autoPict="0" altText="This is just there to fix the excel issue with comments and linked pictures">
                <anchor moveWithCells="1">
                  <from>
                    <xdr:col>14</xdr:col>
                    <xdr:colOff>594360</xdr:colOff>
                    <xdr:row>30</xdr:row>
                    <xdr:rowOff>83820</xdr:rowOff>
                  </from>
                  <to>
                    <xdr:col>16</xdr:col>
                    <xdr:colOff>220980</xdr:colOff>
                    <xdr:row>31</xdr:row>
                    <xdr:rowOff>114300</xdr:rowOff>
                  </to>
                </anchor>
              </controlPr>
            </control>
          </mc:Choice>
        </mc:AlternateContent>
        <mc:AlternateContent xmlns:mc="http://schemas.openxmlformats.org/markup-compatibility/2006">
          <mc:Choice Requires="x14">
            <control shapeId="1060" r:id="rId5" name="Spinner 36">
              <controlPr defaultSize="0" autoPict="0">
                <anchor moveWithCells="1" sizeWithCells="1">
                  <from>
                    <xdr:col>7</xdr:col>
                    <xdr:colOff>502920</xdr:colOff>
                    <xdr:row>56</xdr:row>
                    <xdr:rowOff>0</xdr:rowOff>
                  </from>
                  <to>
                    <xdr:col>8</xdr:col>
                    <xdr:colOff>7620</xdr:colOff>
                    <xdr:row>58</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 id="{AB53E77D-5294-4F50-832B-89A6F7F8A8A1}">
            <xm:f>NOT(Variable_Management!$K$30)</xm:f>
            <x14:dxf>
              <font>
                <color rgb="FFC00000"/>
              </font>
              <fill>
                <patternFill>
                  <bgColor theme="5" tint="0.59996337778862885"/>
                </patternFill>
              </fill>
            </x14:dxf>
          </x14:cfRule>
          <xm:sqref>H23</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1"/>
  <sheetViews>
    <sheetView workbookViewId="0">
      <selection activeCell="C31" sqref="C31"/>
    </sheetView>
  </sheetViews>
  <sheetFormatPr defaultRowHeight="15" x14ac:dyDescent="0.3"/>
  <sheetData/>
  <phoneticPr fontId="4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S256"/>
  <sheetViews>
    <sheetView zoomScale="85" zoomScaleNormal="85" workbookViewId="0">
      <pane ySplit="5" topLeftCell="A48" activePane="bottomLeft" state="frozen"/>
      <selection activeCell="N8" sqref="N8"/>
      <selection pane="bottomLeft" activeCell="B89" sqref="B89"/>
    </sheetView>
  </sheetViews>
  <sheetFormatPr defaultRowHeight="15" x14ac:dyDescent="0.3"/>
  <cols>
    <col min="1" max="1" width="28.875" customWidth="1"/>
    <col min="2" max="2" width="19.625" customWidth="1"/>
    <col min="3" max="3" width="10.875" customWidth="1"/>
    <col min="4" max="4" width="10" bestFit="1" customWidth="1"/>
    <col min="5" max="5" width="18.75" customWidth="1"/>
    <col min="6" max="6" width="14.75" customWidth="1"/>
    <col min="7" max="7" width="15.125" customWidth="1"/>
    <col min="8" max="9" width="12.625" customWidth="1"/>
    <col min="11" max="11" width="12.875" bestFit="1" customWidth="1"/>
    <col min="12" max="14" width="12.25" bestFit="1" customWidth="1"/>
  </cols>
  <sheetData>
    <row r="1" spans="1:17" ht="28.2" x14ac:dyDescent="0.5">
      <c r="A1" s="229" t="s">
        <v>15</v>
      </c>
      <c r="B1" s="229"/>
      <c r="C1" s="229"/>
      <c r="D1" s="229"/>
      <c r="E1" s="229"/>
      <c r="F1" s="229"/>
      <c r="G1" s="229"/>
      <c r="H1" s="229"/>
      <c r="I1" s="229"/>
      <c r="J1" s="229"/>
    </row>
    <row r="2" spans="1:17" x14ac:dyDescent="0.3">
      <c r="A2" s="5"/>
      <c r="B2" s="5" t="s">
        <v>16</v>
      </c>
      <c r="C2" s="6"/>
      <c r="D2" s="4"/>
      <c r="E2" s="5"/>
      <c r="F2" s="5"/>
      <c r="G2" s="5"/>
      <c r="H2" s="5"/>
      <c r="I2" s="5"/>
      <c r="J2" s="5"/>
    </row>
    <row r="3" spans="1:17" x14ac:dyDescent="0.3">
      <c r="A3" s="5"/>
      <c r="B3" s="5" t="s">
        <v>17</v>
      </c>
      <c r="C3" s="7"/>
      <c r="D3" s="4"/>
      <c r="E3" s="5"/>
      <c r="F3" s="14" t="s">
        <v>63</v>
      </c>
      <c r="G3" s="15" t="s">
        <v>64</v>
      </c>
      <c r="H3" s="26" t="s">
        <v>67</v>
      </c>
      <c r="I3" s="5"/>
      <c r="J3" s="5"/>
    </row>
    <row r="4" spans="1:17" x14ac:dyDescent="0.3">
      <c r="A4" s="5"/>
      <c r="B4" s="5" t="s">
        <v>18</v>
      </c>
      <c r="C4" s="8"/>
      <c r="D4" s="4"/>
      <c r="E4" s="5"/>
      <c r="F4" s="5"/>
      <c r="G4" s="5"/>
      <c r="H4" s="5"/>
      <c r="I4" s="5"/>
      <c r="J4" s="5"/>
    </row>
    <row r="5" spans="1:17" x14ac:dyDescent="0.3">
      <c r="A5" s="9" t="s">
        <v>19</v>
      </c>
      <c r="B5" s="9" t="s">
        <v>20</v>
      </c>
      <c r="C5" s="9" t="s">
        <v>21</v>
      </c>
      <c r="D5" s="4"/>
      <c r="E5" s="230" t="s">
        <v>22</v>
      </c>
      <c r="F5" s="230"/>
      <c r="G5" s="230"/>
      <c r="H5" s="230"/>
      <c r="I5" s="5"/>
      <c r="J5" s="9" t="s">
        <v>23</v>
      </c>
      <c r="K5" s="9" t="s">
        <v>71</v>
      </c>
      <c r="L5" s="4"/>
      <c r="M5" s="4"/>
      <c r="N5" s="4"/>
      <c r="O5" s="4"/>
      <c r="P5" s="4"/>
      <c r="Q5" s="4"/>
    </row>
    <row r="6" spans="1:17" ht="15.6" x14ac:dyDescent="0.3">
      <c r="A6" s="10" t="s">
        <v>24</v>
      </c>
      <c r="B6" s="9"/>
      <c r="C6" s="9"/>
      <c r="D6" s="9"/>
      <c r="E6" s="5"/>
      <c r="F6" s="5"/>
      <c r="G6" s="5"/>
      <c r="H6" s="5"/>
      <c r="I6" s="5"/>
      <c r="J6" s="9"/>
      <c r="K6" s="4"/>
      <c r="L6" s="4"/>
      <c r="M6" s="4"/>
      <c r="N6" s="4"/>
      <c r="O6" s="4"/>
      <c r="P6" s="4"/>
      <c r="Q6" s="4"/>
    </row>
    <row r="7" spans="1:17" x14ac:dyDescent="0.3">
      <c r="A7" t="s">
        <v>25</v>
      </c>
      <c r="B7" s="3">
        <f>'Design Converter'!H7</f>
        <v>37</v>
      </c>
      <c r="C7" t="s">
        <v>10</v>
      </c>
      <c r="E7" t="s">
        <v>28</v>
      </c>
    </row>
    <row r="8" spans="1:17" x14ac:dyDescent="0.3">
      <c r="A8" t="s">
        <v>26</v>
      </c>
      <c r="B8" s="3">
        <f>'Design Converter'!H8</f>
        <v>45</v>
      </c>
      <c r="C8" t="s">
        <v>10</v>
      </c>
      <c r="E8" t="s">
        <v>29</v>
      </c>
      <c r="K8">
        <f>IF(VIN_min&lt;VIN_min,1,IF(VIN_nom&gt;VIN_max,1,0))</f>
        <v>0</v>
      </c>
    </row>
    <row r="9" spans="1:17" x14ac:dyDescent="0.3">
      <c r="A9" t="s">
        <v>27</v>
      </c>
      <c r="B9" s="3">
        <f>'Design Converter'!H9</f>
        <v>57</v>
      </c>
      <c r="C9" t="s">
        <v>10</v>
      </c>
      <c r="E9" t="s">
        <v>30</v>
      </c>
    </row>
    <row r="10" spans="1:17" x14ac:dyDescent="0.3">
      <c r="A10" t="s">
        <v>68</v>
      </c>
      <c r="B10" s="3">
        <f>'Design Converter'!H12*1000</f>
        <v>445000</v>
      </c>
      <c r="C10" t="s">
        <v>69</v>
      </c>
      <c r="E10" t="s">
        <v>70</v>
      </c>
    </row>
    <row r="11" spans="1:17" x14ac:dyDescent="0.3">
      <c r="A11" t="s">
        <v>73</v>
      </c>
      <c r="B11" s="18">
        <f>((2.21*10^10)/Fsw)-955</f>
        <v>48707.921348314609</v>
      </c>
      <c r="C11" s="2" t="s">
        <v>36</v>
      </c>
      <c r="E11" t="s">
        <v>74</v>
      </c>
    </row>
    <row r="13" spans="1:17" x14ac:dyDescent="0.3">
      <c r="A13" t="s">
        <v>31</v>
      </c>
      <c r="B13" s="3">
        <f>'Design Converter'!H10</f>
        <v>54</v>
      </c>
      <c r="C13" t="s">
        <v>10</v>
      </c>
      <c r="E13" t="s">
        <v>32</v>
      </c>
    </row>
    <row r="14" spans="1:17" x14ac:dyDescent="0.3">
      <c r="A14" t="s">
        <v>33</v>
      </c>
      <c r="B14" s="3">
        <f>'Design Converter'!H11</f>
        <v>0.5</v>
      </c>
      <c r="C14" t="s">
        <v>11</v>
      </c>
      <c r="E14" t="s">
        <v>34</v>
      </c>
    </row>
    <row r="15" spans="1:17" x14ac:dyDescent="0.3">
      <c r="A15" t="s">
        <v>35</v>
      </c>
      <c r="B15" s="1">
        <f>VOUT/IOUT</f>
        <v>108</v>
      </c>
      <c r="C15" s="2" t="s">
        <v>36</v>
      </c>
      <c r="E15" t="s">
        <v>42</v>
      </c>
    </row>
    <row r="16" spans="1:17" x14ac:dyDescent="0.3">
      <c r="A16" t="s">
        <v>37</v>
      </c>
      <c r="B16" s="1">
        <f>VOUT*IOUT</f>
        <v>27</v>
      </c>
      <c r="C16" s="2" t="s">
        <v>38</v>
      </c>
      <c r="E16" t="s">
        <v>41</v>
      </c>
    </row>
    <row r="17" spans="1:19" x14ac:dyDescent="0.3">
      <c r="A17" t="s">
        <v>39</v>
      </c>
      <c r="B17" s="11">
        <f>'Design Converter'!H14/100</f>
        <v>0.97</v>
      </c>
      <c r="E17" t="s">
        <v>40</v>
      </c>
    </row>
    <row r="19" spans="1:19" x14ac:dyDescent="0.3">
      <c r="A19" s="33" t="s">
        <v>519</v>
      </c>
    </row>
    <row r="20" spans="1:19" x14ac:dyDescent="0.3">
      <c r="A20" t="s">
        <v>43</v>
      </c>
      <c r="B20" s="1">
        <f>IF(B$36="DCM",B55,B39)</f>
        <v>0.31481481481481477</v>
      </c>
      <c r="E20" t="s">
        <v>44</v>
      </c>
    </row>
    <row r="21" spans="1:19" x14ac:dyDescent="0.3">
      <c r="A21" t="s">
        <v>45</v>
      </c>
      <c r="B21" s="12">
        <f>Constants!B20</f>
        <v>0.93</v>
      </c>
      <c r="E21" t="s">
        <v>46</v>
      </c>
      <c r="K21">
        <f>IF(((1-D_limit_nom)/Constants!B12)&lt;Fsw,1,0)</f>
        <v>0</v>
      </c>
    </row>
    <row r="23" spans="1:19" x14ac:dyDescent="0.3">
      <c r="A23" t="s">
        <v>82</v>
      </c>
      <c r="B23" s="1">
        <f>IF(B$36="DCM",B58,B42)</f>
        <v>0.31481481481481477</v>
      </c>
      <c r="E23" t="s">
        <v>506</v>
      </c>
    </row>
    <row r="24" spans="1:19" x14ac:dyDescent="0.3">
      <c r="B24" s="13">
        <f>IF(B$36="DCM",B59,B43)</f>
        <v>7.0744902205576351E-7</v>
      </c>
      <c r="C24" t="s">
        <v>54</v>
      </c>
      <c r="E24" t="s">
        <v>333</v>
      </c>
    </row>
    <row r="25" spans="1:19" x14ac:dyDescent="0.3">
      <c r="A25" t="s">
        <v>92</v>
      </c>
      <c r="B25" s="17">
        <f>IF(B$36="DCM",B60,B44)</f>
        <v>0.72972972972972971</v>
      </c>
      <c r="C25" t="s">
        <v>11</v>
      </c>
      <c r="E25" t="s">
        <v>95</v>
      </c>
      <c r="K25" t="s">
        <v>559</v>
      </c>
      <c r="L25" t="s">
        <v>560</v>
      </c>
      <c r="M25" t="s">
        <v>572</v>
      </c>
    </row>
    <row r="26" spans="1:19" x14ac:dyDescent="0.3">
      <c r="J26" t="s">
        <v>561</v>
      </c>
      <c r="K26" t="b">
        <f>Dc_CCM_VIN_min&lt;B58</f>
        <v>1</v>
      </c>
      <c r="L26" t="b">
        <f>Dc_CCM_VIN_nom&lt;Dc_DCM_VIN_nom</f>
        <v>1</v>
      </c>
      <c r="M26" t="e">
        <f>Dc_CCM_VIN_max&lt;B66</f>
        <v>#NUM!</v>
      </c>
    </row>
    <row r="27" spans="1:19" x14ac:dyDescent="0.3">
      <c r="A27" t="s">
        <v>83</v>
      </c>
      <c r="B27" s="1">
        <f>IF(B$36="DCM",B62,B46)</f>
        <v>0.16666666666666663</v>
      </c>
      <c r="E27" t="s">
        <v>507</v>
      </c>
      <c r="J27" t="s">
        <v>565</v>
      </c>
      <c r="K27" t="e">
        <f>AND(K26:M26)</f>
        <v>#NUM!</v>
      </c>
    </row>
    <row r="28" spans="1:19" x14ac:dyDescent="0.3">
      <c r="B28" s="13">
        <f>IF(B$36="DCM",B63,B47)</f>
        <v>3.7453183520599242E-7</v>
      </c>
      <c r="C28" t="s">
        <v>54</v>
      </c>
      <c r="E28" t="s">
        <v>333</v>
      </c>
      <c r="J28" t="s">
        <v>566</v>
      </c>
      <c r="K28" t="e">
        <f>NOT(OR(K26:M26))</f>
        <v>#NUM!</v>
      </c>
    </row>
    <row r="29" spans="1:19" x14ac:dyDescent="0.3">
      <c r="A29" t="s">
        <v>93</v>
      </c>
      <c r="B29" s="17">
        <f>IF(B$36="DCM",B64,B48)</f>
        <v>0.6</v>
      </c>
      <c r="C29" t="s">
        <v>11</v>
      </c>
      <c r="E29" t="s">
        <v>96</v>
      </c>
      <c r="J29" t="s">
        <v>562</v>
      </c>
      <c r="K29" t="e">
        <f>NOT(OR(K27:K28))</f>
        <v>#NUM!</v>
      </c>
    </row>
    <row r="30" spans="1:19" x14ac:dyDescent="0.3">
      <c r="J30" t="s">
        <v>567</v>
      </c>
      <c r="K30" t="e">
        <f>IF(Dc_Mode="CCM",K27,IF(Dc_Mode="DCM",K28,K29))</f>
        <v>#NUM!</v>
      </c>
      <c r="P30" t="s">
        <v>557</v>
      </c>
      <c r="Q30" t="s">
        <v>555</v>
      </c>
      <c r="R30" t="s">
        <v>556</v>
      </c>
      <c r="S30" t="s">
        <v>558</v>
      </c>
    </row>
    <row r="31" spans="1:19" x14ac:dyDescent="0.3">
      <c r="A31" t="s">
        <v>84</v>
      </c>
      <c r="B31" s="1">
        <f>IF(B$36="DCM",B66,B50)</f>
        <v>-5.555555555555558E-2</v>
      </c>
      <c r="E31" t="s">
        <v>508</v>
      </c>
      <c r="K31" t="s">
        <v>554</v>
      </c>
      <c r="L31" s="137">
        <f>VIN_min/(Fsw*2*IOUT)*Dc_VIN_min*(1-Dc_VIN_min)</f>
        <v>1.793514279989519E-5</v>
      </c>
      <c r="M31" s="137">
        <f>VIN_nom/(Fsw*2*IOUT)*Dc_VIN_nom*(1-Dc_VIN_nom)</f>
        <v>1.4044943820224716E-5</v>
      </c>
      <c r="N31" s="137">
        <f>VIN_max/(Fsw*2*IOUT)*Dc_VIN_max*(1-Dc_VIN_max)</f>
        <v>-7.5114440282979648E-6</v>
      </c>
      <c r="P31" s="137">
        <f>Q31*0.9</f>
        <v>-6.7602996254681688E-6</v>
      </c>
      <c r="Q31" s="137">
        <f>MIN(L31:N31)</f>
        <v>-7.5114440282979648E-6</v>
      </c>
      <c r="R31" s="137">
        <f>MAX(L31:N31)</f>
        <v>1.793514279989519E-5</v>
      </c>
      <c r="S31" s="137">
        <f>R31*1.1</f>
        <v>1.9728657079884709E-5</v>
      </c>
    </row>
    <row r="32" spans="1:19" x14ac:dyDescent="0.3">
      <c r="B32" s="13">
        <f>IF(B$36="DCM",B67,B51)</f>
        <v>-1.2484394506866424E-7</v>
      </c>
      <c r="C32" t="s">
        <v>54</v>
      </c>
      <c r="E32" t="s">
        <v>333</v>
      </c>
    </row>
    <row r="33" spans="1:14" x14ac:dyDescent="0.3">
      <c r="A33" t="s">
        <v>94</v>
      </c>
      <c r="B33" s="17">
        <f>IF(B$36="DCM",B68,B52)</f>
        <v>0.47368421052631576</v>
      </c>
      <c r="C33" t="s">
        <v>11</v>
      </c>
      <c r="E33" t="s">
        <v>97</v>
      </c>
    </row>
    <row r="34" spans="1:14" x14ac:dyDescent="0.3">
      <c r="N34" t="s">
        <v>553</v>
      </c>
    </row>
    <row r="35" spans="1:14" x14ac:dyDescent="0.3">
      <c r="A35" t="s">
        <v>534</v>
      </c>
      <c r="B35" s="140" t="str">
        <f>IF(AND(K35&lt;Lm,L35&lt;Lm,M35&lt;Lm),"CCM",IF(AND(K35&gt;Lm,L35&gt;Lm,M35&gt;Lm),"DCM","CCM/DCM"))</f>
        <v>CCM</v>
      </c>
      <c r="E35" t="s">
        <v>517</v>
      </c>
      <c r="K35" s="137">
        <f>VIN_min/(Fsw*2*IOUT)*Dc_CCM_VIN_min*(1-Dc_CCM_VIN_min)</f>
        <v>1.793514279989519E-5</v>
      </c>
      <c r="L35" s="137">
        <f>IF(AND(B50&lt;0.5,B42&gt;0.5),VIN_min/(Fsw*2*IOUT)*0.5*(1-0.5),VIN_min/(Fsw*2*IOUT)*Dc_CCM_VIN_nom*(1-Dc_CCM_VIN_nom))</f>
        <v>1.1548064918851435E-5</v>
      </c>
      <c r="M35" s="137">
        <f>VIN_min/(Fsw*2*IOUT)*Dc_CCM_VIN_max*(1-Dc_VIN_max)</f>
        <v>-4.875849632403942E-6</v>
      </c>
      <c r="N35" t="b">
        <f>IF(Dc_Mode="CCM",IF(Lm&lt;MAX(K35,L35,M35),TRUE,IF(Lm&gt;MIN(K35,L35,M35),TRUE,FALSE)))</f>
        <v>1</v>
      </c>
    </row>
    <row r="36" spans="1:14" x14ac:dyDescent="0.3">
      <c r="A36" t="s">
        <v>533</v>
      </c>
      <c r="B36" s="139" t="str">
        <f>'Design Converter'!H18</f>
        <v>CCM</v>
      </c>
      <c r="E36" t="s">
        <v>516</v>
      </c>
      <c r="K36" t="str">
        <f>IF(OR(B35="CCM",B35="CCM/DCM"),"CCM","DCM")</f>
        <v>CCM</v>
      </c>
      <c r="L36" t="str">
        <f>IF(B35="CCM/DCM","DCM","")</f>
        <v/>
      </c>
    </row>
    <row r="38" spans="1:14" x14ac:dyDescent="0.3">
      <c r="A38" s="33" t="s">
        <v>495</v>
      </c>
    </row>
    <row r="39" spans="1:14" x14ac:dyDescent="0.3">
      <c r="A39" t="s">
        <v>509</v>
      </c>
      <c r="B39" s="1">
        <f>1-VIN_min/VOUT</f>
        <v>0.31481481481481477</v>
      </c>
      <c r="E39" t="s">
        <v>44</v>
      </c>
    </row>
    <row r="42" spans="1:14" x14ac:dyDescent="0.3">
      <c r="A42" t="s">
        <v>510</v>
      </c>
      <c r="B42" s="1">
        <f>1-VIN_min/VOUT</f>
        <v>0.31481481481481477</v>
      </c>
      <c r="E42" t="s">
        <v>85</v>
      </c>
    </row>
    <row r="43" spans="1:14" x14ac:dyDescent="0.3">
      <c r="B43" s="13">
        <f>B42/Fsw</f>
        <v>7.0744902205576351E-7</v>
      </c>
      <c r="C43" t="s">
        <v>54</v>
      </c>
      <c r="E43" t="s">
        <v>333</v>
      </c>
    </row>
    <row r="44" spans="1:14" x14ac:dyDescent="0.3">
      <c r="A44" t="s">
        <v>511</v>
      </c>
      <c r="B44" s="17">
        <f>(VOUT*IOUT)/(VIN_min)</f>
        <v>0.72972972972972971</v>
      </c>
      <c r="C44" t="s">
        <v>11</v>
      </c>
      <c r="E44" t="s">
        <v>95</v>
      </c>
    </row>
    <row r="46" spans="1:14" x14ac:dyDescent="0.3">
      <c r="A46" t="s">
        <v>512</v>
      </c>
      <c r="B46" s="1">
        <f>1-VIN_nom/VOUT</f>
        <v>0.16666666666666663</v>
      </c>
      <c r="E46" t="s">
        <v>86</v>
      </c>
    </row>
    <row r="47" spans="1:14" x14ac:dyDescent="0.3">
      <c r="B47" s="13">
        <f>B46/Fsw</f>
        <v>3.7453183520599242E-7</v>
      </c>
      <c r="C47" t="s">
        <v>54</v>
      </c>
      <c r="E47" t="s">
        <v>333</v>
      </c>
    </row>
    <row r="48" spans="1:14" x14ac:dyDescent="0.3">
      <c r="A48" t="s">
        <v>513</v>
      </c>
      <c r="B48" s="17">
        <f>(VOUT*IOUT)/(VIN_nom)</f>
        <v>0.6</v>
      </c>
      <c r="C48" t="s">
        <v>11</v>
      </c>
      <c r="E48" t="s">
        <v>96</v>
      </c>
    </row>
    <row r="50" spans="1:5" x14ac:dyDescent="0.3">
      <c r="A50" t="s">
        <v>514</v>
      </c>
      <c r="B50" s="1">
        <f>1-VIN_max/VOUT</f>
        <v>-5.555555555555558E-2</v>
      </c>
      <c r="E50" t="s">
        <v>87</v>
      </c>
    </row>
    <row r="51" spans="1:5" x14ac:dyDescent="0.3">
      <c r="B51" s="13">
        <f>B50/Fsw</f>
        <v>-1.2484394506866424E-7</v>
      </c>
      <c r="C51" t="s">
        <v>54</v>
      </c>
      <c r="E51" t="s">
        <v>333</v>
      </c>
    </row>
    <row r="52" spans="1:5" x14ac:dyDescent="0.3">
      <c r="A52" t="s">
        <v>515</v>
      </c>
      <c r="B52" s="17">
        <f>(VOUT*IOUT)/(VIN_max)</f>
        <v>0.47368421052631576</v>
      </c>
      <c r="C52" t="s">
        <v>11</v>
      </c>
      <c r="E52" t="s">
        <v>97</v>
      </c>
    </row>
    <row r="54" spans="1:5" x14ac:dyDescent="0.3">
      <c r="A54" s="33" t="s">
        <v>496</v>
      </c>
    </row>
    <row r="55" spans="1:5" x14ac:dyDescent="0.3">
      <c r="A55" t="s">
        <v>497</v>
      </c>
      <c r="B55" s="1">
        <f>1/VIN_min*SQRT(2*Lm*(VOUT-VIN_min)*Fsw*IOUT)</f>
        <v>0.55628423926762505</v>
      </c>
      <c r="E55" t="s">
        <v>44</v>
      </c>
    </row>
    <row r="58" spans="1:5" x14ac:dyDescent="0.3">
      <c r="A58" t="s">
        <v>501</v>
      </c>
      <c r="B58" s="1">
        <f>1/VIN_min*SQRT(2*Lm*(VOUT-VIN_min)*Fsw*IOUT)</f>
        <v>0.55628423926762505</v>
      </c>
      <c r="E58" t="s">
        <v>498</v>
      </c>
    </row>
    <row r="59" spans="1:5" x14ac:dyDescent="0.3">
      <c r="B59" s="13">
        <f>B58/Fsw</f>
        <v>1.2500769421744383E-6</v>
      </c>
      <c r="C59" t="s">
        <v>54</v>
      </c>
      <c r="E59" t="s">
        <v>333</v>
      </c>
    </row>
    <row r="60" spans="1:5" x14ac:dyDescent="0.3">
      <c r="A60" t="s">
        <v>502</v>
      </c>
      <c r="B60" s="17">
        <f>(VOUT*IOUT)/(VIN_min)</f>
        <v>0.72972972972972971</v>
      </c>
      <c r="C60" t="s">
        <v>11</v>
      </c>
      <c r="E60" t="s">
        <v>95</v>
      </c>
    </row>
    <row r="62" spans="1:5" x14ac:dyDescent="0.3">
      <c r="A62" t="s">
        <v>503</v>
      </c>
      <c r="B62" s="1">
        <f>1/VIN_nom*SQRT(2*Lm*(VOUT-VIN_nom)*Fsw*IOUT)</f>
        <v>0.33279957264929827</v>
      </c>
      <c r="E62" t="s">
        <v>499</v>
      </c>
    </row>
    <row r="63" spans="1:5" x14ac:dyDescent="0.3">
      <c r="B63" s="13">
        <f>B62/Fsw</f>
        <v>7.478642082006703E-7</v>
      </c>
      <c r="C63" t="s">
        <v>54</v>
      </c>
      <c r="E63" t="s">
        <v>333</v>
      </c>
    </row>
    <row r="64" spans="1:5" x14ac:dyDescent="0.3">
      <c r="A64" t="s">
        <v>504</v>
      </c>
      <c r="B64" s="17">
        <f>(VOUT*IOUT)/(VIN_nom)</f>
        <v>0.6</v>
      </c>
      <c r="C64" t="s">
        <v>11</v>
      </c>
      <c r="E64" t="s">
        <v>96</v>
      </c>
    </row>
    <row r="66" spans="1:5" x14ac:dyDescent="0.3">
      <c r="A66" t="s">
        <v>505</v>
      </c>
      <c r="B66" s="1" t="e">
        <f>1/VIN_max*SQRT(2*Lm*(VOUT-VIN_max)*Fsw*IOUT)</f>
        <v>#NUM!</v>
      </c>
      <c r="E66" t="s">
        <v>500</v>
      </c>
    </row>
    <row r="67" spans="1:5" x14ac:dyDescent="0.3">
      <c r="B67" s="13" t="e">
        <f>B66/Fsw</f>
        <v>#NUM!</v>
      </c>
      <c r="C67" t="s">
        <v>54</v>
      </c>
      <c r="E67" t="s">
        <v>333</v>
      </c>
    </row>
    <row r="68" spans="1:5" x14ac:dyDescent="0.3">
      <c r="A68" t="s">
        <v>94</v>
      </c>
      <c r="B68" s="17">
        <f>(VOUT*IOUT)/(VIN_max)</f>
        <v>0.47368421052631576</v>
      </c>
      <c r="C68" t="s">
        <v>11</v>
      </c>
      <c r="E68" t="s">
        <v>97</v>
      </c>
    </row>
    <row r="70" spans="1:5" x14ac:dyDescent="0.3">
      <c r="A70" s="19" t="s">
        <v>77</v>
      </c>
    </row>
    <row r="71" spans="1:5" x14ac:dyDescent="0.3">
      <c r="A71" t="s">
        <v>99</v>
      </c>
      <c r="B71" s="3">
        <f>'Design Converter'!H21/100</f>
        <v>0.6</v>
      </c>
      <c r="E71" t="s">
        <v>122</v>
      </c>
    </row>
    <row r="72" spans="1:5" x14ac:dyDescent="0.3">
      <c r="A72" s="22" t="s">
        <v>107</v>
      </c>
    </row>
    <row r="73" spans="1:5" x14ac:dyDescent="0.3">
      <c r="A73" t="s">
        <v>90</v>
      </c>
      <c r="B73" s="25">
        <f>(VIN_min*Dc_VIN_min)/(IL_avg_VIN_min*ILrip*Fsw)</f>
        <v>5.9783809332983979E-5</v>
      </c>
      <c r="C73" t="s">
        <v>98</v>
      </c>
      <c r="E73" t="s">
        <v>91</v>
      </c>
    </row>
    <row r="74" spans="1:5" x14ac:dyDescent="0.3">
      <c r="A74" t="s">
        <v>569</v>
      </c>
      <c r="B74" s="25">
        <f>(VIN_nom*Dc_VIN_nom)/(IL_avg_VIN_nom*ILrip*Fsw)</f>
        <v>4.6816479400749052E-5</v>
      </c>
      <c r="C74" t="s">
        <v>98</v>
      </c>
      <c r="E74" t="s">
        <v>570</v>
      </c>
    </row>
    <row r="75" spans="1:5" x14ac:dyDescent="0.3">
      <c r="A75" t="s">
        <v>568</v>
      </c>
      <c r="B75" s="25">
        <f>(VIN_max*Dc_VIN_max)/(IL_avg_VIN_max*ILrip*Fsw)</f>
        <v>-2.503814676099321E-5</v>
      </c>
      <c r="C75" t="s">
        <v>98</v>
      </c>
      <c r="E75" t="s">
        <v>571</v>
      </c>
    </row>
    <row r="76" spans="1:5" x14ac:dyDescent="0.3">
      <c r="A76" t="s">
        <v>100</v>
      </c>
      <c r="B76" s="25">
        <f>AVERAGE(B73:B75)</f>
        <v>2.7187380657579943E-5</v>
      </c>
      <c r="C76" t="s">
        <v>98</v>
      </c>
      <c r="E76" t="s">
        <v>101</v>
      </c>
    </row>
    <row r="78" spans="1:5" x14ac:dyDescent="0.3">
      <c r="A78" s="22" t="s">
        <v>108</v>
      </c>
    </row>
    <row r="79" spans="1:5" x14ac:dyDescent="0.3">
      <c r="A79" t="s">
        <v>133</v>
      </c>
      <c r="B79" s="12">
        <v>0.33</v>
      </c>
      <c r="C79" t="s">
        <v>13</v>
      </c>
      <c r="E79" t="s">
        <v>132</v>
      </c>
    </row>
    <row r="80" spans="1:5" x14ac:dyDescent="0.3">
      <c r="A80" t="s">
        <v>109</v>
      </c>
      <c r="B80" s="1">
        <f>IF(Dc_VIN_max&lt;Dc_rip_max,VOUT*(1-Dc_rip_max),VOUT*(1-Dc_VIN_max))</f>
        <v>36.179999999999993</v>
      </c>
      <c r="C80" t="s">
        <v>10</v>
      </c>
      <c r="E80" t="s">
        <v>136</v>
      </c>
    </row>
    <row r="81" spans="1:5" x14ac:dyDescent="0.3">
      <c r="A81" t="s">
        <v>110</v>
      </c>
      <c r="B81" s="16">
        <f>(VOUT*IOUT)/(VIN_33)</f>
        <v>0.74626865671641807</v>
      </c>
      <c r="C81" t="s">
        <v>11</v>
      </c>
      <c r="E81" t="s">
        <v>135</v>
      </c>
    </row>
    <row r="82" spans="1:5" x14ac:dyDescent="0.3">
      <c r="A82" t="s">
        <v>111</v>
      </c>
      <c r="B82" s="25">
        <f>(VIN_33*0.33)/(IIN_33*ILrip*Fsw)</f>
        <v>5.99205842696629E-5</v>
      </c>
      <c r="C82" t="s">
        <v>98</v>
      </c>
      <c r="E82" t="s">
        <v>134</v>
      </c>
    </row>
    <row r="84" spans="1:5" x14ac:dyDescent="0.3">
      <c r="A84" t="s">
        <v>102</v>
      </c>
      <c r="B84" s="21">
        <f>'Design Converter'!H23*10^-6</f>
        <v>5.5999999999999999E-5</v>
      </c>
      <c r="C84" t="s">
        <v>98</v>
      </c>
      <c r="E84" t="s">
        <v>103</v>
      </c>
    </row>
    <row r="85" spans="1:5" x14ac:dyDescent="0.3">
      <c r="A85" t="s">
        <v>104</v>
      </c>
      <c r="B85" s="3">
        <f>'Design Converter'!H24*10^-3</f>
        <v>0.23</v>
      </c>
      <c r="C85" s="2" t="s">
        <v>36</v>
      </c>
      <c r="E85" t="s">
        <v>137</v>
      </c>
    </row>
    <row r="86" spans="1:5" x14ac:dyDescent="0.3">
      <c r="A86" t="s">
        <v>138</v>
      </c>
      <c r="B86" s="12">
        <v>0.2</v>
      </c>
      <c r="C86" s="2"/>
      <c r="E86" t="s">
        <v>139</v>
      </c>
    </row>
    <row r="88" spans="1:5" x14ac:dyDescent="0.3">
      <c r="A88" s="22" t="s">
        <v>573</v>
      </c>
      <c r="C88" s="2"/>
    </row>
    <row r="89" spans="1:5" x14ac:dyDescent="0.3">
      <c r="A89" t="s">
        <v>574</v>
      </c>
      <c r="B89" s="227">
        <f>VIN_min/(2*Fsw*IOUT)*(1-VIN_min/VOUT)*(1-(1-VIN_min/VOUT))</f>
        <v>1.793514279989519E-5</v>
      </c>
      <c r="C89" s="2"/>
    </row>
    <row r="90" spans="1:5" x14ac:dyDescent="0.3">
      <c r="C90" s="2"/>
    </row>
    <row r="91" spans="1:5" x14ac:dyDescent="0.3">
      <c r="A91" s="22" t="s">
        <v>495</v>
      </c>
      <c r="C91" s="2"/>
    </row>
    <row r="92" spans="1:5" x14ac:dyDescent="0.3">
      <c r="A92" t="s">
        <v>115</v>
      </c>
      <c r="B92" s="16">
        <f>(VIN_min*Dc_VIN_min)/(Lm*Fsw)</f>
        <v>0.46742167528684381</v>
      </c>
      <c r="C92" t="s">
        <v>11</v>
      </c>
      <c r="E92" t="s">
        <v>116</v>
      </c>
    </row>
    <row r="93" spans="1:5" x14ac:dyDescent="0.3">
      <c r="A93" t="s">
        <v>113</v>
      </c>
      <c r="B93" s="16">
        <f>(IL_avg_VIN_min/EFF_est)+(ILrip_VINmin/2)</f>
        <v>0.98600952808644227</v>
      </c>
      <c r="C93" t="s">
        <v>11</v>
      </c>
      <c r="E93" t="s">
        <v>114</v>
      </c>
    </row>
    <row r="95" spans="1:5" x14ac:dyDescent="0.3">
      <c r="A95" t="s">
        <v>117</v>
      </c>
      <c r="B95" s="16">
        <f>(VIN_nom*Dc_VIN_nom)/(Lm*Fsw)</f>
        <v>0.30096308186195819</v>
      </c>
      <c r="C95" t="s">
        <v>11</v>
      </c>
      <c r="E95" t="s">
        <v>123</v>
      </c>
    </row>
    <row r="96" spans="1:5" x14ac:dyDescent="0.3">
      <c r="A96" t="s">
        <v>118</v>
      </c>
      <c r="B96" s="16">
        <f>(IL_avg_VIN_nom/EFF_est)+(ILrip_VINnom/2)</f>
        <v>0.76903824196190695</v>
      </c>
      <c r="C96" t="s">
        <v>11</v>
      </c>
      <c r="E96" t="s">
        <v>124</v>
      </c>
    </row>
    <row r="98" spans="1:5" x14ac:dyDescent="0.3">
      <c r="A98" t="s">
        <v>119</v>
      </c>
      <c r="B98" s="16">
        <f>(VIN_max*Dc_VIN_max)/(Lm*Fsw)</f>
        <v>-0.12707330123060465</v>
      </c>
      <c r="C98" t="s">
        <v>11</v>
      </c>
      <c r="E98" t="s">
        <v>125</v>
      </c>
    </row>
    <row r="99" spans="1:5" x14ac:dyDescent="0.3">
      <c r="A99" t="s">
        <v>120</v>
      </c>
      <c r="B99" s="16">
        <f>(IL_avg_VIN_max/EFF_est)+(ILrip_VINmax/2)</f>
        <v>0.42479758704069331</v>
      </c>
      <c r="C99" t="s">
        <v>11</v>
      </c>
      <c r="E99" t="s">
        <v>126</v>
      </c>
    </row>
    <row r="100" spans="1:5" x14ac:dyDescent="0.3">
      <c r="C100" s="2"/>
    </row>
    <row r="101" spans="1:5" x14ac:dyDescent="0.3">
      <c r="A101" s="22" t="s">
        <v>496</v>
      </c>
      <c r="C101" s="2"/>
    </row>
    <row r="102" spans="1:5" x14ac:dyDescent="0.3">
      <c r="A102" t="s">
        <v>115</v>
      </c>
      <c r="B102" s="16">
        <f>(VIN_min*Dc_VIN_min)/(Lm*Fsw)</f>
        <v>0.46742167528684381</v>
      </c>
      <c r="C102" t="s">
        <v>11</v>
      </c>
      <c r="E102" t="s">
        <v>116</v>
      </c>
    </row>
    <row r="103" spans="1:5" x14ac:dyDescent="0.3">
      <c r="A103" t="s">
        <v>113</v>
      </c>
      <c r="B103" s="16">
        <f>B102</f>
        <v>0.46742167528684381</v>
      </c>
      <c r="C103" t="s">
        <v>11</v>
      </c>
      <c r="E103" t="s">
        <v>114</v>
      </c>
    </row>
    <row r="105" spans="1:5" x14ac:dyDescent="0.3">
      <c r="A105" t="s">
        <v>117</v>
      </c>
      <c r="B105" s="16">
        <f>(VIN_nom*Dc_VIN_nom)/(Lm*Fsw)</f>
        <v>0.30096308186195819</v>
      </c>
      <c r="C105" t="s">
        <v>11</v>
      </c>
      <c r="E105" t="s">
        <v>123</v>
      </c>
    </row>
    <row r="106" spans="1:5" x14ac:dyDescent="0.3">
      <c r="A106" t="s">
        <v>118</v>
      </c>
      <c r="B106" s="16">
        <f>B105</f>
        <v>0.30096308186195819</v>
      </c>
      <c r="C106" t="s">
        <v>11</v>
      </c>
      <c r="E106" t="s">
        <v>124</v>
      </c>
    </row>
    <row r="108" spans="1:5" x14ac:dyDescent="0.3">
      <c r="A108" t="s">
        <v>119</v>
      </c>
      <c r="B108" s="16">
        <f>(VIN_max*Dc_VIN_max)/(Lm*Fsw)</f>
        <v>-0.12707330123060465</v>
      </c>
      <c r="C108" t="s">
        <v>11</v>
      </c>
      <c r="E108" t="s">
        <v>125</v>
      </c>
    </row>
    <row r="109" spans="1:5" x14ac:dyDescent="0.3">
      <c r="A109" t="s">
        <v>120</v>
      </c>
      <c r="B109" s="16">
        <f>B108</f>
        <v>-0.12707330123060465</v>
      </c>
      <c r="C109" t="s">
        <v>11</v>
      </c>
      <c r="E109" t="s">
        <v>126</v>
      </c>
    </row>
    <row r="110" spans="1:5" x14ac:dyDescent="0.3">
      <c r="C110" s="2"/>
    </row>
    <row r="111" spans="1:5" x14ac:dyDescent="0.3">
      <c r="A111" s="22" t="s">
        <v>324</v>
      </c>
      <c r="B111" t="s">
        <v>112</v>
      </c>
    </row>
    <row r="112" spans="1:5" x14ac:dyDescent="0.3">
      <c r="A112" t="s">
        <v>115</v>
      </c>
      <c r="B112" s="16">
        <f>IF(B$36="CCM",B92,B102)</f>
        <v>0.46742167528684381</v>
      </c>
      <c r="C112" t="s">
        <v>11</v>
      </c>
      <c r="E112" t="s">
        <v>116</v>
      </c>
    </row>
    <row r="113" spans="1:13" x14ac:dyDescent="0.3">
      <c r="A113" t="s">
        <v>113</v>
      </c>
      <c r="B113" s="16">
        <f>IF(B$36="CCM",B93,B103)</f>
        <v>0.98600952808644227</v>
      </c>
      <c r="C113" t="s">
        <v>11</v>
      </c>
      <c r="E113" t="s">
        <v>114</v>
      </c>
    </row>
    <row r="115" spans="1:13" x14ac:dyDescent="0.3">
      <c r="A115" t="s">
        <v>117</v>
      </c>
      <c r="B115" s="16">
        <f>IF(B$36="CCM",B95,B105)</f>
        <v>0.30096308186195819</v>
      </c>
      <c r="C115" t="s">
        <v>11</v>
      </c>
      <c r="E115" t="s">
        <v>123</v>
      </c>
    </row>
    <row r="116" spans="1:13" x14ac:dyDescent="0.3">
      <c r="A116" t="s">
        <v>118</v>
      </c>
      <c r="B116" s="16">
        <f>IF(B$36="CCM",B96,B106)</f>
        <v>0.76903824196190695</v>
      </c>
      <c r="C116" t="s">
        <v>11</v>
      </c>
      <c r="E116" t="s">
        <v>124</v>
      </c>
    </row>
    <row r="118" spans="1:13" x14ac:dyDescent="0.3">
      <c r="A118" t="s">
        <v>119</v>
      </c>
      <c r="B118" s="16">
        <f>IF(B$36="CCM",B98,B108)</f>
        <v>-0.12707330123060465</v>
      </c>
      <c r="C118" t="s">
        <v>11</v>
      </c>
      <c r="E118" t="s">
        <v>125</v>
      </c>
    </row>
    <row r="119" spans="1:13" x14ac:dyDescent="0.3">
      <c r="A119" t="s">
        <v>120</v>
      </c>
      <c r="B119" s="16">
        <f>IF(B$36="CCM",B99,B109)</f>
        <v>0.42479758704069331</v>
      </c>
      <c r="C119" t="s">
        <v>11</v>
      </c>
      <c r="E119" t="s">
        <v>126</v>
      </c>
    </row>
    <row r="121" spans="1:13" x14ac:dyDescent="0.3">
      <c r="A121" s="19" t="s">
        <v>121</v>
      </c>
    </row>
    <row r="122" spans="1:13" x14ac:dyDescent="0.3">
      <c r="A122" t="s">
        <v>128</v>
      </c>
      <c r="B122" s="3">
        <f>'Design Converter'!H28/100</f>
        <v>0.2</v>
      </c>
      <c r="E122" t="s">
        <v>129</v>
      </c>
    </row>
    <row r="123" spans="1:13" x14ac:dyDescent="0.3">
      <c r="A123" t="s">
        <v>130</v>
      </c>
      <c r="B123" s="17">
        <f>(1+Ipk_margin)*ILp_VINmin</f>
        <v>1.1832114337037307</v>
      </c>
      <c r="C123" t="s">
        <v>11</v>
      </c>
      <c r="E123" t="s">
        <v>131</v>
      </c>
    </row>
    <row r="124" spans="1:13" x14ac:dyDescent="0.3">
      <c r="B124" s="17"/>
    </row>
    <row r="125" spans="1:13" x14ac:dyDescent="0.3">
      <c r="A125" t="s">
        <v>142</v>
      </c>
      <c r="B125" s="12">
        <v>0.6</v>
      </c>
      <c r="E125" t="s">
        <v>143</v>
      </c>
      <c r="J125">
        <f>Fsw*Isl*Rsl_int*Lm</f>
        <v>0.99655079999999996</v>
      </c>
    </row>
    <row r="126" spans="1:13" x14ac:dyDescent="0.3">
      <c r="J126">
        <f>Isl</f>
        <v>2.9999999999999997E-5</v>
      </c>
      <c r="K126">
        <f>Fsw</f>
        <v>445000</v>
      </c>
      <c r="L126">
        <f>Lm</f>
        <v>5.5999999999999999E-5</v>
      </c>
      <c r="M126">
        <f>Rsl_int</f>
        <v>1333</v>
      </c>
    </row>
    <row r="127" spans="1:13" x14ac:dyDescent="0.3">
      <c r="A127" t="s">
        <v>140</v>
      </c>
      <c r="B127" s="25">
        <f>(1/B125)*((Fsw*Isl*Rsl_int*Lm)/(VOUT-VIN_min))</f>
        <v>9.7701058823529405E-2</v>
      </c>
      <c r="C127" s="2" t="s">
        <v>36</v>
      </c>
      <c r="E127" t="s">
        <v>141</v>
      </c>
    </row>
    <row r="128" spans="1:13" x14ac:dyDescent="0.3">
      <c r="A128" t="s">
        <v>148</v>
      </c>
      <c r="B128" s="25">
        <f>Vcl/Ipk_selected</f>
        <v>8.4515748539528923E-2</v>
      </c>
      <c r="C128" s="2" t="s">
        <v>36</v>
      </c>
      <c r="E128" t="s">
        <v>149</v>
      </c>
    </row>
    <row r="130" spans="1:11" x14ac:dyDescent="0.3">
      <c r="A130" t="s">
        <v>155</v>
      </c>
      <c r="B130" s="12">
        <v>0.83299999999999996</v>
      </c>
      <c r="E130" t="s">
        <v>156</v>
      </c>
    </row>
    <row r="131" spans="1:11" x14ac:dyDescent="0.3">
      <c r="A131" t="s">
        <v>154</v>
      </c>
      <c r="B131" s="24">
        <f>(Lm*Fsw*(Vcl+(Dc_VIN_min*Isl*Rsl_int)))/((Dc_VIN_min*Kslope*VOUT)-(Dc_VIN_min*Kslope*VIN_min)+(Ipk_selected*Lm*Fsw))</f>
        <v>8.2658259904174733E-2</v>
      </c>
      <c r="C131" s="2" t="s">
        <v>36</v>
      </c>
      <c r="E131" t="s">
        <v>165</v>
      </c>
    </row>
    <row r="132" spans="1:11" x14ac:dyDescent="0.3">
      <c r="A132" t="s">
        <v>157</v>
      </c>
      <c r="B132" s="16">
        <f>(Vcl-(Ipk_selected*Rcs_w_sl))/(Isl*Dc_VIN_min)</f>
        <v>232.70842496391077</v>
      </c>
      <c r="C132" s="2" t="s">
        <v>36</v>
      </c>
      <c r="E132" t="s">
        <v>164</v>
      </c>
    </row>
    <row r="134" spans="1:11" x14ac:dyDescent="0.3">
      <c r="A134" t="s">
        <v>152</v>
      </c>
      <c r="B134" s="1">
        <f>IF(AND(Rcs_wo_sl&gt;Rcs_max,OR(B36="CCM",B36="CCM/DCM")),1,0)</f>
        <v>0</v>
      </c>
      <c r="E134" t="s">
        <v>153</v>
      </c>
    </row>
    <row r="135" spans="1:11" x14ac:dyDescent="0.3">
      <c r="A135" t="s">
        <v>158</v>
      </c>
      <c r="B135" s="27">
        <f>IF(B134=0,Rcs_wo_sl,Rcs_w_sl)</f>
        <v>8.4515748539528923E-2</v>
      </c>
      <c r="C135" s="2" t="s">
        <v>36</v>
      </c>
      <c r="E135" t="s">
        <v>162</v>
      </c>
    </row>
    <row r="136" spans="1:11" x14ac:dyDescent="0.3">
      <c r="A136" t="s">
        <v>159</v>
      </c>
      <c r="B136" s="1">
        <f>IF(K136&gt;Rsl_max,Rsl_max,K136)</f>
        <v>0</v>
      </c>
      <c r="C136" s="2" t="s">
        <v>36</v>
      </c>
      <c r="E136" t="s">
        <v>163</v>
      </c>
      <c r="K136">
        <f>IF(B134=0,0,B132)</f>
        <v>0</v>
      </c>
    </row>
    <row r="138" spans="1:11" x14ac:dyDescent="0.3">
      <c r="A138" t="s">
        <v>160</v>
      </c>
      <c r="B138" s="28">
        <f>'Design Converter'!H32/1000</f>
        <v>0.06</v>
      </c>
      <c r="C138" s="2" t="s">
        <v>36</v>
      </c>
      <c r="E138" t="s">
        <v>167</v>
      </c>
    </row>
    <row r="139" spans="1:11" x14ac:dyDescent="0.3">
      <c r="A139" t="s">
        <v>161</v>
      </c>
      <c r="B139" s="3">
        <f>'Design Converter'!H33</f>
        <v>0</v>
      </c>
      <c r="C139" s="2" t="s">
        <v>36</v>
      </c>
      <c r="E139" t="s">
        <v>168</v>
      </c>
    </row>
    <row r="141" spans="1:11" x14ac:dyDescent="0.3">
      <c r="A141" t="s">
        <v>172</v>
      </c>
      <c r="B141" s="1">
        <f>(Isl*(Rsl_int+R_sl)*Fsw)/(((VOUT-VIN_min)/Lm)*R_cs)</f>
        <v>0.97701058823529408</v>
      </c>
      <c r="C141" t="s">
        <v>180</v>
      </c>
      <c r="E141" t="s">
        <v>170</v>
      </c>
      <c r="K141">
        <f>IF(B141&lt;0.5,1,0)</f>
        <v>0</v>
      </c>
    </row>
    <row r="142" spans="1:11" x14ac:dyDescent="0.3">
      <c r="A142" t="s">
        <v>174</v>
      </c>
      <c r="B142" s="17">
        <f>(Vcl-(Isl*R_sl*Dc_VIN_min))/R_cs</f>
        <v>1.6666666666666667</v>
      </c>
      <c r="C142" t="s">
        <v>11</v>
      </c>
      <c r="E142" t="s">
        <v>176</v>
      </c>
      <c r="K142">
        <f>IF(IL_pk&lt;Ipk_selected,1,0)</f>
        <v>0</v>
      </c>
    </row>
    <row r="143" spans="1:11" x14ac:dyDescent="0.3">
      <c r="A143" t="s">
        <v>175</v>
      </c>
      <c r="B143" s="17">
        <f>(Vcl-(Isl*R_sl*Dc_VIN_max))/R_cs</f>
        <v>1.6666666666666667</v>
      </c>
      <c r="C143" t="s">
        <v>11</v>
      </c>
      <c r="E143" t="s">
        <v>177</v>
      </c>
    </row>
    <row r="144" spans="1:11" x14ac:dyDescent="0.3">
      <c r="A144" t="s">
        <v>178</v>
      </c>
      <c r="B144" s="1">
        <f>0.15</f>
        <v>0.15</v>
      </c>
      <c r="E144" t="s">
        <v>179</v>
      </c>
    </row>
    <row r="145" spans="1:5" x14ac:dyDescent="0.3">
      <c r="A145" t="s">
        <v>181</v>
      </c>
      <c r="B145" s="16">
        <f>(1+B144)*B143</f>
        <v>1.9166666666666665</v>
      </c>
      <c r="C145" t="s">
        <v>11</v>
      </c>
      <c r="E145" t="s">
        <v>182</v>
      </c>
    </row>
    <row r="147" spans="1:5" x14ac:dyDescent="0.3">
      <c r="A147" s="22" t="s">
        <v>183</v>
      </c>
    </row>
    <row r="148" spans="1:5" x14ac:dyDescent="0.3">
      <c r="A148" t="s">
        <v>184</v>
      </c>
    </row>
    <row r="150" spans="1:5" x14ac:dyDescent="0.3">
      <c r="A150" s="30" t="s">
        <v>185</v>
      </c>
    </row>
    <row r="152" spans="1:5" x14ac:dyDescent="0.3">
      <c r="A152" t="s">
        <v>190</v>
      </c>
      <c r="B152" s="31">
        <f>'Design Converter'!H38/1000</f>
        <v>0.1</v>
      </c>
      <c r="C152" t="s">
        <v>10</v>
      </c>
      <c r="E152" t="s">
        <v>189</v>
      </c>
    </row>
    <row r="153" spans="1:5" x14ac:dyDescent="0.3">
      <c r="A153" t="s">
        <v>192</v>
      </c>
      <c r="B153" s="1">
        <f>IOUT*Dc_VIN_min/(Fsw*Vout_rip_sel)</f>
        <v>3.5372451102788176E-6</v>
      </c>
      <c r="C153" t="s">
        <v>193</v>
      </c>
      <c r="E153" t="s">
        <v>194</v>
      </c>
    </row>
    <row r="154" spans="1:5" x14ac:dyDescent="0.3">
      <c r="A154" t="s">
        <v>196</v>
      </c>
      <c r="B154" s="16">
        <f>SQRT((1-Dc_VIN_min)*((IOUT^2)*(Dc_VIN_min/((1-Dc_VIN_min)^2))+((ILrip_VINmin^2)/3)))</f>
        <v>0.40591293189764788</v>
      </c>
      <c r="C154" t="s">
        <v>11</v>
      </c>
      <c r="E154" t="s">
        <v>197</v>
      </c>
    </row>
    <row r="155" spans="1:5" x14ac:dyDescent="0.3">
      <c r="A155" t="s">
        <v>202</v>
      </c>
      <c r="B155" s="3">
        <f>'Design Converter'!H41*(10^-6)</f>
        <v>4.6999999999999997E-5</v>
      </c>
      <c r="C155" t="s">
        <v>193</v>
      </c>
      <c r="E155" t="s">
        <v>200</v>
      </c>
    </row>
    <row r="156" spans="1:5" x14ac:dyDescent="0.3">
      <c r="A156" t="s">
        <v>199</v>
      </c>
      <c r="B156" s="3">
        <f>'Design Converter'!H42/1000</f>
        <v>2E-3</v>
      </c>
      <c r="C156" s="2" t="s">
        <v>36</v>
      </c>
      <c r="E156" t="s">
        <v>201</v>
      </c>
    </row>
    <row r="157" spans="1:5" x14ac:dyDescent="0.3">
      <c r="A157" t="s">
        <v>331</v>
      </c>
      <c r="B157" t="e">
        <f>SQRT((IOUT^2)+(IL_avg_VIN_min^2)-(2*IOUT*IL_avg_VIN_min)-(2*Dc_VIN_min*(IOUT^2))-(Dc_VIN_min*(IL_avg_VIN_min^2))+(2*Dc_VIN_min*IOUT*IL_avg_VIN_min))</f>
        <v>#NUM!</v>
      </c>
      <c r="E157" s="38" t="s">
        <v>332</v>
      </c>
    </row>
    <row r="159" spans="1:5" x14ac:dyDescent="0.3">
      <c r="A159" s="30" t="s">
        <v>350</v>
      </c>
    </row>
    <row r="160" spans="1:5" x14ac:dyDescent="0.3">
      <c r="A160" t="s">
        <v>335</v>
      </c>
      <c r="B160" s="12">
        <f>Iss</f>
        <v>9.9999999999999991E-6</v>
      </c>
      <c r="C160" t="s">
        <v>11</v>
      </c>
      <c r="E160" t="s">
        <v>337</v>
      </c>
    </row>
    <row r="161" spans="1:5" x14ac:dyDescent="0.3">
      <c r="A161" t="s">
        <v>338</v>
      </c>
      <c r="B161" s="1">
        <f>Iss*VOUT*Cout/(Vref*IOUT)</f>
        <v>5.0759999999999986E-8</v>
      </c>
      <c r="C161" t="s">
        <v>193</v>
      </c>
      <c r="E161" t="s">
        <v>339</v>
      </c>
    </row>
    <row r="162" spans="1:5" x14ac:dyDescent="0.3">
      <c r="A162" t="s">
        <v>340</v>
      </c>
      <c r="B162" s="3">
        <f>'Design Converter'!H46*(10^-3)</f>
        <v>0.02</v>
      </c>
      <c r="C162" t="s">
        <v>54</v>
      </c>
      <c r="E162" t="s">
        <v>341</v>
      </c>
    </row>
    <row r="163" spans="1:5" x14ac:dyDescent="0.3">
      <c r="A163" t="s">
        <v>344</v>
      </c>
      <c r="B163" s="1">
        <f>(tss*Iss)/(Vref*(1-(VIN_min/VOUT)))</f>
        <v>6.3529411764705887E-7</v>
      </c>
      <c r="C163" t="s">
        <v>193</v>
      </c>
      <c r="E163" t="s">
        <v>345</v>
      </c>
    </row>
    <row r="165" spans="1:5" x14ac:dyDescent="0.3">
      <c r="A165" s="30" t="s">
        <v>349</v>
      </c>
    </row>
    <row r="166" spans="1:5" x14ac:dyDescent="0.3">
      <c r="A166" t="s">
        <v>351</v>
      </c>
      <c r="B166" s="3">
        <f>'Design Converter'!H50</f>
        <v>37</v>
      </c>
      <c r="C166" t="s">
        <v>10</v>
      </c>
      <c r="E166" t="s">
        <v>353</v>
      </c>
    </row>
    <row r="167" spans="1:5" x14ac:dyDescent="0.3">
      <c r="A167" t="s">
        <v>352</v>
      </c>
      <c r="B167" s="3">
        <f>'Design Converter'!H51</f>
        <v>35</v>
      </c>
      <c r="C167" t="s">
        <v>10</v>
      </c>
      <c r="E167" t="s">
        <v>354</v>
      </c>
    </row>
    <row r="168" spans="1:5" x14ac:dyDescent="0.3">
      <c r="A168" t="s">
        <v>356</v>
      </c>
      <c r="B168" s="12">
        <f>UV_rise</f>
        <v>1.5</v>
      </c>
      <c r="C168" t="s">
        <v>10</v>
      </c>
      <c r="E168" t="s">
        <v>361</v>
      </c>
    </row>
    <row r="169" spans="1:5" x14ac:dyDescent="0.3">
      <c r="A169" t="s">
        <v>357</v>
      </c>
      <c r="B169" s="12">
        <f>UV_fall</f>
        <v>1.45</v>
      </c>
      <c r="C169" t="s">
        <v>10</v>
      </c>
      <c r="E169" t="s">
        <v>360</v>
      </c>
    </row>
    <row r="170" spans="1:5" x14ac:dyDescent="0.3">
      <c r="A170" t="s">
        <v>362</v>
      </c>
      <c r="B170" s="12">
        <f>UV_I_hyst</f>
        <v>4.9999999999999996E-6</v>
      </c>
      <c r="C170" t="s">
        <v>11</v>
      </c>
      <c r="E170" t="s">
        <v>364</v>
      </c>
    </row>
    <row r="171" spans="1:5" x14ac:dyDescent="0.3">
      <c r="A171" t="s">
        <v>365</v>
      </c>
      <c r="B171" s="18">
        <f>((Vuvlo_on*0.967)-Vuvlo_off)/(UV_I_hyst)</f>
        <v>155799.99999999927</v>
      </c>
      <c r="C171" s="2" t="s">
        <v>36</v>
      </c>
      <c r="E171" t="s">
        <v>466</v>
      </c>
    </row>
    <row r="172" spans="1:5" x14ac:dyDescent="0.3">
      <c r="A172" t="s">
        <v>365</v>
      </c>
      <c r="B172" s="3">
        <f>'Design Converter'!H53*1000</f>
        <v>150000</v>
      </c>
      <c r="C172" s="2" t="s">
        <v>36</v>
      </c>
      <c r="E172" t="s">
        <v>467</v>
      </c>
    </row>
    <row r="173" spans="1:5" x14ac:dyDescent="0.3">
      <c r="A173" t="s">
        <v>366</v>
      </c>
      <c r="B173" s="18">
        <f>UV_rise*Ruvlo_top/(Vuvlo_on-UV_rise)</f>
        <v>6338.0281690140846</v>
      </c>
      <c r="C173" s="2" t="s">
        <v>36</v>
      </c>
      <c r="E173" t="s">
        <v>468</v>
      </c>
    </row>
    <row r="174" spans="1:5" x14ac:dyDescent="0.3">
      <c r="A174" t="s">
        <v>367</v>
      </c>
      <c r="B174" s="17">
        <f>UV_rise*(Ruvlo_top+Ruvlo_bottom_calc)/Ruvlo_bottom_calc</f>
        <v>37</v>
      </c>
      <c r="E174" t="s">
        <v>369</v>
      </c>
    </row>
    <row r="175" spans="1:5" x14ac:dyDescent="0.3">
      <c r="A175" t="s">
        <v>368</v>
      </c>
      <c r="B175" s="17">
        <f>Ruvlo_top*((UV_fall/Ruvlo_top)-(UV_I_hyst)+(UV_fall/Ruvlo_bottom_calc))</f>
        <v>35.016666666666666</v>
      </c>
      <c r="E175" t="s">
        <v>370</v>
      </c>
    </row>
    <row r="178" spans="1:5" x14ac:dyDescent="0.3">
      <c r="A178" s="30" t="s">
        <v>204</v>
      </c>
    </row>
    <row r="179" spans="1:5" x14ac:dyDescent="0.3">
      <c r="A179" s="34" t="s">
        <v>232</v>
      </c>
      <c r="B179" s="3" t="str">
        <f>'Design Converter'!H57</f>
        <v>45V</v>
      </c>
      <c r="C179" t="s">
        <v>10</v>
      </c>
      <c r="E179" t="s">
        <v>276</v>
      </c>
    </row>
    <row r="180" spans="1:5" x14ac:dyDescent="0.3">
      <c r="A180" s="34"/>
    </row>
    <row r="181" spans="1:5" x14ac:dyDescent="0.3">
      <c r="A181" s="33" t="s">
        <v>291</v>
      </c>
    </row>
    <row r="182" spans="1:5" x14ac:dyDescent="0.3">
      <c r="A182" t="s">
        <v>224</v>
      </c>
      <c r="B182" s="3">
        <f>'Design Converter'!H60*(10^3)</f>
        <v>536000</v>
      </c>
      <c r="C182" s="2" t="s">
        <v>36</v>
      </c>
      <c r="E182" t="s">
        <v>277</v>
      </c>
    </row>
    <row r="183" spans="1:5" x14ac:dyDescent="0.3">
      <c r="A183" t="s">
        <v>281</v>
      </c>
      <c r="B183" s="18">
        <f>(RFBT*Vref)/(VOUT-Vref)</f>
        <v>10113.207547169812</v>
      </c>
      <c r="C183" s="2" t="s">
        <v>36</v>
      </c>
      <c r="E183" t="s">
        <v>284</v>
      </c>
    </row>
    <row r="184" spans="1:5" x14ac:dyDescent="0.3">
      <c r="A184" t="s">
        <v>225</v>
      </c>
      <c r="B184" s="3">
        <f>'Design Converter'!H62*(10^3)</f>
        <v>10000</v>
      </c>
      <c r="C184" s="2" t="s">
        <v>36</v>
      </c>
      <c r="E184" t="s">
        <v>285</v>
      </c>
    </row>
    <row r="185" spans="1:5" x14ac:dyDescent="0.3">
      <c r="A185" t="s">
        <v>286</v>
      </c>
      <c r="B185" s="1">
        <f>VOUT/(RFBB+RFBT)</f>
        <v>9.8901098901098906E-5</v>
      </c>
      <c r="C185" s="2" t="s">
        <v>11</v>
      </c>
      <c r="E185" t="s">
        <v>287</v>
      </c>
    </row>
    <row r="186" spans="1:5" x14ac:dyDescent="0.3">
      <c r="C186" s="2"/>
    </row>
    <row r="187" spans="1:5" x14ac:dyDescent="0.3">
      <c r="A187" s="33" t="s">
        <v>292</v>
      </c>
      <c r="E187" t="s">
        <v>457</v>
      </c>
    </row>
    <row r="189" spans="1:5" x14ac:dyDescent="0.3">
      <c r="A189" t="s">
        <v>470</v>
      </c>
      <c r="B189">
        <f>(Gcomp*(VIN_min/VOUT)*(VOUT/IOUT))/(2*R_cs*Acs)</f>
        <v>89.416666666666671</v>
      </c>
    </row>
    <row r="191" spans="1:5" x14ac:dyDescent="0.3">
      <c r="A191" t="s">
        <v>471</v>
      </c>
      <c r="B191" s="12">
        <f>2/(Cout*(VOUT/IOUT))</f>
        <v>394.01103230890465</v>
      </c>
      <c r="C191" t="s">
        <v>454</v>
      </c>
      <c r="E191" t="s">
        <v>453</v>
      </c>
    </row>
    <row r="192" spans="1:5" x14ac:dyDescent="0.3">
      <c r="A192" t="s">
        <v>472</v>
      </c>
      <c r="B192" s="1">
        <f>B191/(2*PI())</f>
        <v>62.708803424702658</v>
      </c>
      <c r="C192" t="s">
        <v>69</v>
      </c>
      <c r="E192" t="s">
        <v>288</v>
      </c>
    </row>
    <row r="194" spans="1:5" x14ac:dyDescent="0.3">
      <c r="A194" t="s">
        <v>473</v>
      </c>
      <c r="B194" s="12">
        <f>1/(Cout*Resr)</f>
        <v>10638297.872340426</v>
      </c>
      <c r="C194" t="s">
        <v>455</v>
      </c>
      <c r="E194" t="s">
        <v>456</v>
      </c>
    </row>
    <row r="195" spans="1:5" x14ac:dyDescent="0.3">
      <c r="A195" t="s">
        <v>474</v>
      </c>
      <c r="B195" s="1">
        <f>B194/(2*PI())</f>
        <v>1693137.6924669717</v>
      </c>
      <c r="C195" t="s">
        <v>69</v>
      </c>
      <c r="E195" t="s">
        <v>290</v>
      </c>
    </row>
    <row r="197" spans="1:5" x14ac:dyDescent="0.3">
      <c r="A197" t="s">
        <v>475</v>
      </c>
      <c r="B197" s="12">
        <f>((VOUT/IOUT)*((VIN_min/VOUT)^2))/(Lm)</f>
        <v>905423.28042328055</v>
      </c>
      <c r="E197" t="s">
        <v>452</v>
      </c>
    </row>
    <row r="198" spans="1:5" x14ac:dyDescent="0.3">
      <c r="A198" t="s">
        <v>476</v>
      </c>
      <c r="B198" s="18">
        <f>B197/(2*PI())</f>
        <v>144102.59066984442</v>
      </c>
      <c r="C198" t="s">
        <v>69</v>
      </c>
      <c r="E198" t="s">
        <v>289</v>
      </c>
    </row>
    <row r="199" spans="1:5" x14ac:dyDescent="0.3">
      <c r="B199">
        <f>Fsw/10</f>
        <v>44500</v>
      </c>
      <c r="C199" t="s">
        <v>69</v>
      </c>
      <c r="E199" t="s">
        <v>297</v>
      </c>
    </row>
    <row r="200" spans="1:5" x14ac:dyDescent="0.3">
      <c r="B200">
        <f>IF((B198/5)&lt;(B199),0,1)</f>
        <v>0</v>
      </c>
      <c r="E200" t="s">
        <v>299</v>
      </c>
    </row>
    <row r="202" spans="1:5" x14ac:dyDescent="0.3">
      <c r="A202" t="s">
        <v>477</v>
      </c>
      <c r="B202" s="1">
        <f>(Isl*(Rsl_int+R_sl)*Fsw)</f>
        <v>17795.55</v>
      </c>
      <c r="C202" t="s">
        <v>180</v>
      </c>
      <c r="E202" t="s">
        <v>248</v>
      </c>
    </row>
    <row r="203" spans="1:5" x14ac:dyDescent="0.3">
      <c r="A203" t="s">
        <v>478</v>
      </c>
      <c r="B203" s="1">
        <f>(R_cs*VIN_min*Acs)/Lm</f>
        <v>39642.857142857138</v>
      </c>
      <c r="C203" t="s">
        <v>180</v>
      </c>
      <c r="E203" t="s">
        <v>249</v>
      </c>
    </row>
    <row r="204" spans="1:5" x14ac:dyDescent="0.3">
      <c r="B204" s="1"/>
    </row>
    <row r="205" spans="1:5" x14ac:dyDescent="0.3">
      <c r="A205" t="s">
        <v>479</v>
      </c>
      <c r="B205" s="1">
        <f>2*PI()*Fsw</f>
        <v>2796017.4616949158</v>
      </c>
      <c r="C205" t="s">
        <v>251</v>
      </c>
    </row>
    <row r="206" spans="1:5" x14ac:dyDescent="0.3">
      <c r="A206" t="s">
        <v>480</v>
      </c>
      <c r="B206" s="1">
        <f>1/(PI()*(((VIN_min/VOUT)*(1+(B202/B203)))-0.5))</f>
        <v>0.64597006949949953</v>
      </c>
    </row>
    <row r="212" spans="1:5" x14ac:dyDescent="0.3">
      <c r="A212" t="s">
        <v>293</v>
      </c>
      <c r="B212" s="17">
        <f>IF(B200=0,fz_rhp/5,Fsw/10)</f>
        <v>28820.518133968882</v>
      </c>
      <c r="C212" t="s">
        <v>69</v>
      </c>
      <c r="E212" t="s">
        <v>298</v>
      </c>
    </row>
    <row r="213" spans="1:5" x14ac:dyDescent="0.3">
      <c r="A213" t="s">
        <v>295</v>
      </c>
      <c r="B213" s="3">
        <f>'Design Converter'!H66*1000</f>
        <v>20000</v>
      </c>
      <c r="C213" t="s">
        <v>69</v>
      </c>
      <c r="E213" t="s">
        <v>296</v>
      </c>
    </row>
    <row r="215" spans="1:5" x14ac:dyDescent="0.3">
      <c r="A215" t="s">
        <v>304</v>
      </c>
      <c r="B215" s="20">
        <f>Gplant_fc_dB</f>
        <v>-11.034001630170469</v>
      </c>
      <c r="C215" t="s">
        <v>275</v>
      </c>
      <c r="E215" t="s">
        <v>305</v>
      </c>
    </row>
    <row r="216" spans="1:5" x14ac:dyDescent="0.3">
      <c r="A216" t="s">
        <v>300</v>
      </c>
      <c r="B216" s="20">
        <f>10^(B215/20)</f>
        <v>0.28073717054552039</v>
      </c>
      <c r="C216" t="s">
        <v>180</v>
      </c>
      <c r="E216" t="s">
        <v>301</v>
      </c>
    </row>
    <row r="217" spans="1:5" x14ac:dyDescent="0.3">
      <c r="A217" t="s">
        <v>306</v>
      </c>
      <c r="B217" s="20">
        <f>1/B216</f>
        <v>3.5620505758351442</v>
      </c>
      <c r="C217" t="s">
        <v>180</v>
      </c>
      <c r="E217" t="s">
        <v>307</v>
      </c>
    </row>
    <row r="219" spans="1:5" x14ac:dyDescent="0.3">
      <c r="A219" t="s">
        <v>313</v>
      </c>
      <c r="B219">
        <f>fcross/10</f>
        <v>2000</v>
      </c>
      <c r="C219" t="s">
        <v>69</v>
      </c>
      <c r="E219" t="s">
        <v>311</v>
      </c>
    </row>
    <row r="220" spans="1:5" x14ac:dyDescent="0.3">
      <c r="A220" t="s">
        <v>314</v>
      </c>
      <c r="B220" s="35">
        <f>SQRT(B192*fcross)</f>
        <v>1119.900026115748</v>
      </c>
      <c r="C220" t="s">
        <v>69</v>
      </c>
      <c r="E220" t="s">
        <v>312</v>
      </c>
    </row>
    <row r="221" spans="1:5" x14ac:dyDescent="0.3">
      <c r="A221" t="s">
        <v>310</v>
      </c>
      <c r="B221" s="35">
        <f>B220</f>
        <v>1119.900026115748</v>
      </c>
      <c r="C221" t="s">
        <v>69</v>
      </c>
    </row>
    <row r="223" spans="1:5" x14ac:dyDescent="0.3">
      <c r="A223" t="s">
        <v>317</v>
      </c>
      <c r="B223" s="32">
        <f>fz_rhp</f>
        <v>144102.59066984442</v>
      </c>
      <c r="C223" t="s">
        <v>69</v>
      </c>
      <c r="E223" t="s">
        <v>490</v>
      </c>
    </row>
    <row r="224" spans="1:5" x14ac:dyDescent="0.3">
      <c r="E224" t="s">
        <v>491</v>
      </c>
    </row>
    <row r="227" spans="1:5" x14ac:dyDescent="0.3">
      <c r="A227" t="s">
        <v>308</v>
      </c>
      <c r="B227" s="23">
        <f>(Gea_mid_calc*(RFBT+RFBB)/(RFBB*gm_ea))</f>
        <v>97243.980720299442</v>
      </c>
      <c r="C227" s="2" t="s">
        <v>36</v>
      </c>
      <c r="E227" t="s">
        <v>309</v>
      </c>
    </row>
    <row r="228" spans="1:5" x14ac:dyDescent="0.3">
      <c r="A228" t="s">
        <v>214</v>
      </c>
      <c r="B228" s="3">
        <f>'Design Converter'!H69*1000</f>
        <v>10000</v>
      </c>
      <c r="C228" s="2" t="s">
        <v>36</v>
      </c>
      <c r="E228" t="s">
        <v>221</v>
      </c>
    </row>
    <row r="229" spans="1:5" x14ac:dyDescent="0.3">
      <c r="A229" t="s">
        <v>315</v>
      </c>
      <c r="B229" s="36">
        <f>1/(2*PI()*fz_ea_est*Rcomp_calc)</f>
        <v>1.4614304377651028E-9</v>
      </c>
      <c r="C229" s="2" t="s">
        <v>193</v>
      </c>
    </row>
    <row r="230" spans="1:5" x14ac:dyDescent="0.3">
      <c r="A230" t="s">
        <v>219</v>
      </c>
      <c r="B230" s="3">
        <f>'Design Converter'!H70*(10^-9)</f>
        <v>6.8E-8</v>
      </c>
      <c r="C230" t="s">
        <v>193</v>
      </c>
      <c r="E230" t="s">
        <v>222</v>
      </c>
    </row>
    <row r="231" spans="1:5" x14ac:dyDescent="0.3">
      <c r="A231" t="s">
        <v>316</v>
      </c>
      <c r="B231" s="36">
        <f>(CComp_calc)/((CComp_calc*Rcomp_calc*2*PI()*fp_ea_est)-1)</f>
        <v>1.1446532290384427E-11</v>
      </c>
      <c r="C231" t="s">
        <v>193</v>
      </c>
    </row>
    <row r="232" spans="1:5" x14ac:dyDescent="0.3">
      <c r="A232" t="s">
        <v>220</v>
      </c>
      <c r="B232" s="3">
        <f>'Design Converter'!H71*(10^-12)</f>
        <v>1.0000000000000001E-9</v>
      </c>
      <c r="C232" t="s">
        <v>193</v>
      </c>
      <c r="E232" t="s">
        <v>223</v>
      </c>
    </row>
    <row r="235" spans="1:5" x14ac:dyDescent="0.3">
      <c r="A235" s="30" t="s">
        <v>379</v>
      </c>
    </row>
    <row r="236" spans="1:5" x14ac:dyDescent="0.3">
      <c r="A236" s="30" t="s">
        <v>398</v>
      </c>
    </row>
    <row r="237" spans="1:5" x14ac:dyDescent="0.3">
      <c r="A237" s="52" t="s">
        <v>461</v>
      </c>
      <c r="E237" t="s">
        <v>462</v>
      </c>
    </row>
    <row r="238" spans="1:5" x14ac:dyDescent="0.3">
      <c r="A238" t="s">
        <v>380</v>
      </c>
      <c r="B238">
        <f>'Design Converter'!H86/1000</f>
        <v>0.45</v>
      </c>
      <c r="C238" t="s">
        <v>10</v>
      </c>
      <c r="E238" t="s">
        <v>381</v>
      </c>
    </row>
    <row r="239" spans="1:5" x14ac:dyDescent="0.3">
      <c r="A239" t="s">
        <v>411</v>
      </c>
      <c r="B239">
        <f>'Design Converter'!H87*(10^-9)</f>
        <v>1E-8</v>
      </c>
      <c r="C239" t="s">
        <v>409</v>
      </c>
      <c r="E239" t="s">
        <v>410</v>
      </c>
    </row>
    <row r="242" spans="1:8" x14ac:dyDescent="0.3">
      <c r="A242" s="30" t="s">
        <v>401</v>
      </c>
    </row>
    <row r="243" spans="1:8" ht="15.6" x14ac:dyDescent="0.35">
      <c r="A243" t="s">
        <v>412</v>
      </c>
      <c r="B243" s="3">
        <f>'Design Converter'!H76*(10^-3)</f>
        <v>4.5999999999999999E-3</v>
      </c>
      <c r="C243" s="2" t="s">
        <v>36</v>
      </c>
      <c r="E243" s="44" t="s">
        <v>387</v>
      </c>
    </row>
    <row r="244" spans="1:8" ht="15.6" x14ac:dyDescent="0.35">
      <c r="A244" t="s">
        <v>402</v>
      </c>
      <c r="B244" s="3">
        <f>'Design Converter'!H77*(10^-9)</f>
        <v>3.9400000000000002E-8</v>
      </c>
      <c r="C244" t="s">
        <v>193</v>
      </c>
      <c r="E244" s="44" t="s">
        <v>388</v>
      </c>
    </row>
    <row r="245" spans="1:8" ht="15.6" x14ac:dyDescent="0.35">
      <c r="A245" t="s">
        <v>404</v>
      </c>
      <c r="B245" s="3">
        <f>'Design Converter'!H78*(10^-9)</f>
        <v>1.11E-8</v>
      </c>
      <c r="C245" t="s">
        <v>193</v>
      </c>
      <c r="E245" s="44" t="s">
        <v>389</v>
      </c>
    </row>
    <row r="246" spans="1:8" ht="15.6" x14ac:dyDescent="0.35">
      <c r="A246" t="s">
        <v>403</v>
      </c>
      <c r="B246" s="3">
        <f>'Design Converter'!H79*(10^-9)</f>
        <v>1.2300000000000001E-8</v>
      </c>
      <c r="C246" t="s">
        <v>193</v>
      </c>
      <c r="E246" s="44" t="s">
        <v>390</v>
      </c>
    </row>
    <row r="247" spans="1:8" ht="15.6" x14ac:dyDescent="0.35">
      <c r="A247" t="s">
        <v>405</v>
      </c>
      <c r="B247" s="3">
        <f>'Design Converter'!H80</f>
        <v>1.5</v>
      </c>
      <c r="C247" s="2" t="s">
        <v>36</v>
      </c>
      <c r="E247" s="44" t="s">
        <v>391</v>
      </c>
    </row>
    <row r="248" spans="1:8" x14ac:dyDescent="0.3">
      <c r="A248" t="s">
        <v>413</v>
      </c>
      <c r="B248" s="12">
        <v>1.5</v>
      </c>
      <c r="C248" s="2"/>
      <c r="E248" s="44" t="s">
        <v>414</v>
      </c>
      <c r="H248" t="s">
        <v>423</v>
      </c>
    </row>
    <row r="249" spans="1:8" ht="15.6" x14ac:dyDescent="0.35">
      <c r="A249" t="s">
        <v>406</v>
      </c>
      <c r="B249" s="3">
        <f>'Design Converter'!H81</f>
        <v>60</v>
      </c>
      <c r="C249" s="2" t="s">
        <v>397</v>
      </c>
      <c r="E249" s="44" t="s">
        <v>392</v>
      </c>
    </row>
    <row r="250" spans="1:8" ht="15.6" x14ac:dyDescent="0.35">
      <c r="A250" t="s">
        <v>407</v>
      </c>
      <c r="B250" s="3">
        <f>'Design Converter'!H82</f>
        <v>1.7</v>
      </c>
      <c r="C250" s="2" t="s">
        <v>10</v>
      </c>
      <c r="E250" s="44" t="s">
        <v>393</v>
      </c>
    </row>
    <row r="251" spans="1:8" x14ac:dyDescent="0.3">
      <c r="A251" t="s">
        <v>419</v>
      </c>
      <c r="B251" s="12">
        <f>Vcc</f>
        <v>6.75</v>
      </c>
      <c r="C251" s="2" t="s">
        <v>10</v>
      </c>
      <c r="E251" s="44" t="s">
        <v>424</v>
      </c>
    </row>
    <row r="252" spans="1:8" x14ac:dyDescent="0.3">
      <c r="C252" s="2"/>
      <c r="E252" s="44"/>
    </row>
    <row r="253" spans="1:8" x14ac:dyDescent="0.3">
      <c r="C253" s="2"/>
      <c r="E253" s="44"/>
    </row>
    <row r="254" spans="1:8" x14ac:dyDescent="0.3">
      <c r="A254" t="s">
        <v>415</v>
      </c>
      <c r="B254" s="27">
        <f>Vth+(((VOUT*IOUT)/VIN_min)/gfs)</f>
        <v>1.7121621621621621</v>
      </c>
      <c r="C254" s="2" t="s">
        <v>10</v>
      </c>
      <c r="E254" s="44" t="s">
        <v>416</v>
      </c>
    </row>
    <row r="255" spans="1:8" x14ac:dyDescent="0.3">
      <c r="A255" t="s">
        <v>425</v>
      </c>
      <c r="B255" s="1">
        <f>(Qgd+(Qgs/2))*((Rgate+B248)/(Vcc-B254))</f>
        <v>1.0272263948497853E-8</v>
      </c>
      <c r="C255" s="2" t="s">
        <v>54</v>
      </c>
      <c r="E255" s="44" t="s">
        <v>417</v>
      </c>
    </row>
    <row r="256" spans="1:8" ht="15.6" thickBot="1" x14ac:dyDescent="0.35">
      <c r="A256" t="s">
        <v>426</v>
      </c>
      <c r="B256" s="1">
        <f>(Qgd+(Qgs/2))*((B248+Rgate)/B254)</f>
        <v>3.0224940805051303E-8</v>
      </c>
      <c r="C256" t="s">
        <v>54</v>
      </c>
      <c r="E256" s="45" t="s">
        <v>418</v>
      </c>
    </row>
  </sheetData>
  <mergeCells count="2">
    <mergeCell ref="A1:J1"/>
    <mergeCell ref="E5:H5"/>
  </mergeCells>
  <phoneticPr fontId="44" type="noConversion"/>
  <pageMargins left="0.7" right="0.7" top="0.75" bottom="0.75" header="0.3" footer="0.3"/>
  <pageSetup orientation="portrait" r:id="rId1"/>
  <drawing r:id="rId2"/>
  <legacyDrawing r:id="rId3"/>
  <oleObjects>
    <mc:AlternateContent xmlns:mc="http://schemas.openxmlformats.org/markup-compatibility/2006">
      <mc:Choice Requires="x14">
        <oleObject progId="Mathcad" shapeId="2053" r:id="rId4">
          <objectPr defaultSize="0" autoPict="0" r:id="rId5">
            <anchor moveWithCells="1">
              <from>
                <xdr:col>8</xdr:col>
                <xdr:colOff>60960</xdr:colOff>
                <xdr:row>154</xdr:row>
                <xdr:rowOff>137160</xdr:rowOff>
              </from>
              <to>
                <xdr:col>12</xdr:col>
                <xdr:colOff>388620</xdr:colOff>
                <xdr:row>157</xdr:row>
                <xdr:rowOff>22860</xdr:rowOff>
              </to>
            </anchor>
          </objectPr>
        </oleObject>
      </mc:Choice>
      <mc:Fallback>
        <oleObject progId="Mathcad" shapeId="2053"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T157"/>
  <sheetViews>
    <sheetView topLeftCell="R1" zoomScale="85" zoomScaleNormal="85" workbookViewId="0">
      <pane ySplit="6" topLeftCell="A135" activePane="bottomLeft" state="frozen"/>
      <selection activeCell="N8" sqref="N8"/>
      <selection pane="bottomLeft" activeCell="N8" sqref="N8"/>
    </sheetView>
  </sheetViews>
  <sheetFormatPr defaultRowHeight="15" x14ac:dyDescent="0.3"/>
  <cols>
    <col min="10" max="10" width="10" bestFit="1" customWidth="1"/>
    <col min="18" max="18" width="8.875"/>
    <col min="21" max="21" width="8.875"/>
    <col min="24" max="24" width="8.875"/>
    <col min="25" max="25" width="12" bestFit="1" customWidth="1"/>
    <col min="28" max="28" width="8.875"/>
    <col min="30" max="30" width="8.875"/>
    <col min="35" max="35" width="8.875"/>
    <col min="39" max="39" width="11" bestFit="1" customWidth="1"/>
    <col min="42" max="43" width="8.875"/>
  </cols>
  <sheetData>
    <row r="1" spans="1:46" ht="28.2" x14ac:dyDescent="0.5">
      <c r="A1" s="229" t="s">
        <v>15</v>
      </c>
      <c r="B1" s="229"/>
      <c r="C1" s="229"/>
      <c r="D1" s="229"/>
      <c r="E1" s="229"/>
      <c r="F1" s="229"/>
      <c r="G1" s="229"/>
      <c r="H1" s="229"/>
      <c r="I1" s="229"/>
      <c r="J1" s="229"/>
      <c r="K1" s="229"/>
      <c r="L1" s="229"/>
      <c r="M1" s="229"/>
    </row>
    <row r="4" spans="1:46" ht="15.6" thickBot="1" x14ac:dyDescent="0.35">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c r="AS4" s="47"/>
      <c r="AT4" s="47"/>
    </row>
    <row r="5" spans="1:46" ht="30" x14ac:dyDescent="0.3">
      <c r="R5" s="234" t="s">
        <v>372</v>
      </c>
      <c r="S5" s="235"/>
      <c r="T5" s="235"/>
      <c r="U5" s="236"/>
      <c r="V5" s="234" t="s">
        <v>373</v>
      </c>
      <c r="W5" s="235"/>
      <c r="X5" s="236"/>
      <c r="Y5" s="234" t="s">
        <v>446</v>
      </c>
      <c r="Z5" s="235"/>
      <c r="AA5" s="235"/>
      <c r="AB5" s="235"/>
      <c r="AC5" s="235"/>
      <c r="AD5" s="236"/>
      <c r="AE5" s="234" t="s">
        <v>445</v>
      </c>
      <c r="AF5" s="235"/>
      <c r="AG5" s="235"/>
      <c r="AH5" s="235"/>
      <c r="AI5" s="236"/>
      <c r="AJ5" s="234" t="s">
        <v>447</v>
      </c>
      <c r="AK5" s="235"/>
      <c r="AL5" s="235"/>
      <c r="AM5" s="235"/>
      <c r="AN5" s="236"/>
      <c r="AO5" s="231" t="s">
        <v>442</v>
      </c>
      <c r="AP5" s="232"/>
      <c r="AQ5" s="233"/>
      <c r="AR5" s="49" t="s">
        <v>435</v>
      </c>
      <c r="AS5" s="50"/>
      <c r="AT5" s="51"/>
    </row>
    <row r="6" spans="1:46" ht="16.2" x14ac:dyDescent="0.35">
      <c r="R6" s="39" t="s">
        <v>31</v>
      </c>
      <c r="S6" s="37" t="s">
        <v>33</v>
      </c>
      <c r="T6" s="37" t="s">
        <v>327</v>
      </c>
      <c r="U6" s="40" t="s">
        <v>330</v>
      </c>
      <c r="V6" s="39" t="s">
        <v>328</v>
      </c>
      <c r="W6" s="37" t="s">
        <v>329</v>
      </c>
      <c r="X6" s="40" t="s">
        <v>377</v>
      </c>
      <c r="Y6" s="39" t="s">
        <v>374</v>
      </c>
      <c r="Z6" s="37" t="s">
        <v>376</v>
      </c>
      <c r="AA6" s="37" t="s">
        <v>375</v>
      </c>
      <c r="AB6" s="46" t="s">
        <v>383</v>
      </c>
      <c r="AC6" s="46" t="s">
        <v>384</v>
      </c>
      <c r="AD6" s="48" t="s">
        <v>433</v>
      </c>
      <c r="AE6" s="39" t="s">
        <v>427</v>
      </c>
      <c r="AF6" s="37" t="s">
        <v>428</v>
      </c>
      <c r="AG6" s="46" t="s">
        <v>430</v>
      </c>
      <c r="AH6" s="46" t="s">
        <v>429</v>
      </c>
      <c r="AI6" s="48" t="s">
        <v>431</v>
      </c>
      <c r="AJ6" s="39" t="s">
        <v>382</v>
      </c>
      <c r="AK6" s="37" t="s">
        <v>378</v>
      </c>
      <c r="AL6" s="37" t="s">
        <v>385</v>
      </c>
      <c r="AM6" s="37" t="s">
        <v>386</v>
      </c>
      <c r="AN6" s="40" t="s">
        <v>432</v>
      </c>
      <c r="AO6" s="39" t="s">
        <v>434</v>
      </c>
      <c r="AP6" s="37" t="s">
        <v>437</v>
      </c>
      <c r="AQ6" s="40" t="s">
        <v>438</v>
      </c>
      <c r="AR6" s="39" t="s">
        <v>436</v>
      </c>
      <c r="AS6" s="37" t="s">
        <v>444</v>
      </c>
      <c r="AT6" s="40" t="s">
        <v>443</v>
      </c>
    </row>
    <row r="7" spans="1:46" x14ac:dyDescent="0.3">
      <c r="Q7">
        <v>0</v>
      </c>
      <c r="R7" s="39">
        <f t="shared" ref="R7:R70" si="0">VOUT</f>
        <v>54</v>
      </c>
      <c r="S7" s="37">
        <f t="shared" ref="S7:S38" si="1">Q7*$O$12</f>
        <v>0</v>
      </c>
      <c r="T7" s="37">
        <f t="shared" ref="T7:T70" si="2">VIN_var</f>
        <v>45</v>
      </c>
      <c r="U7" s="40">
        <f t="shared" ref="U7:U38" si="3">(R7*S7)/(T7*EFF_est)</f>
        <v>0</v>
      </c>
      <c r="V7" s="39">
        <f t="shared" ref="V7:V38" si="4">IF((S7*R7/T7)&lt;((T7*(1-(T7/R7)))/(2*Lm*Fsw)),1,2)</f>
        <v>1</v>
      </c>
      <c r="W7" s="37">
        <f t="shared" ref="W7:W38" si="5">CHOOSE(V7,SQRT((2*S7*Lm*Fsw*(R7-T7))/((T7)^2)),1-(T7/R7))</f>
        <v>0</v>
      </c>
      <c r="X7" s="40">
        <f t="shared" ref="X7:X38" si="6">CHOOSE(V7,(Lm*W7*Fsw)/(R7-T7),1-W7)</f>
        <v>0</v>
      </c>
      <c r="Y7" s="39">
        <f t="shared" ref="Y7:Y38" si="7">(T7*W7)/(Lm*Fsw)</f>
        <v>0</v>
      </c>
      <c r="Z7" s="37">
        <f>CHOOSE(V7,Y7,U7+(0.5*Y7))</f>
        <v>0</v>
      </c>
      <c r="AA7" s="37">
        <f>CHOOSE(V7,Z7*SQRT((W7+X7)/3),SQRT((U7^2)+((Y7^2)/12)))</f>
        <v>0</v>
      </c>
      <c r="AB7" s="37">
        <v>0</v>
      </c>
      <c r="AC7" s="37">
        <f t="shared" ref="AC7:AC38" si="8">(AA7^2)*Rdcr</f>
        <v>0</v>
      </c>
      <c r="AD7" s="40">
        <f>AB7+AC7</f>
        <v>0</v>
      </c>
      <c r="AE7" s="39">
        <f>U7*W7</f>
        <v>0</v>
      </c>
      <c r="AF7" s="37">
        <f>CHOOSE(V7,Z7*SQRT(W7/3),SQRT(W7*((Z7^2)+((Y7^2)/3)-(Z7*Y7))))</f>
        <v>0</v>
      </c>
      <c r="AG7" s="37">
        <f t="shared" ref="AG7:AG38" si="9">(AF7^2)*RDS_on</f>
        <v>0</v>
      </c>
      <c r="AH7" s="37">
        <f t="shared" ref="AH7:AH38" si="10">((R7*U7)/2)*Fsw*(tr_sw+tf_sw)</f>
        <v>0</v>
      </c>
      <c r="AI7" s="40">
        <f>AG7+AH7</f>
        <v>0</v>
      </c>
      <c r="AJ7" s="39">
        <f>X7*U7</f>
        <v>0</v>
      </c>
      <c r="AK7" s="37">
        <f t="shared" ref="AK7:AK38" si="11">CHOOSE(V7,Z7*SQRT(X7/3),SQRT(X7*((Z7^2)+((Y7^2)/3)-(Y7*Z7))))</f>
        <v>0</v>
      </c>
      <c r="AL7" s="37">
        <f t="shared" ref="AL7:AL38" si="12">S7*Vd_rect</f>
        <v>0</v>
      </c>
      <c r="AM7" s="37">
        <f t="shared" ref="AM7:AM38" si="13">CHOOSE(V7,(R7+Vd_rect)*Qrr*Fsw,(R7+Vd_rect)*Qrr*Fsw)</f>
        <v>0.2423025</v>
      </c>
      <c r="AN7" s="40">
        <f>AL7+AM7</f>
        <v>0.2423025</v>
      </c>
      <c r="AO7" s="39">
        <f t="shared" ref="AO7:AO38" si="14">(AF7^2)*R_cs</f>
        <v>0</v>
      </c>
      <c r="AP7" s="37">
        <f t="shared" ref="AP7:AP38" si="15">Qg_tot*Vcc*Fsw</f>
        <v>0.11834775000000002</v>
      </c>
      <c r="AQ7" s="40">
        <f t="shared" ref="AQ7:AQ38" si="16">IQ*T7</f>
        <v>2.0250000000000001E-2</v>
      </c>
      <c r="AR7" s="39">
        <f>AO7+AN7+AI7+AD7+AP7+AQ7</f>
        <v>0.38090025</v>
      </c>
      <c r="AS7" s="37">
        <f>R7*S7</f>
        <v>0</v>
      </c>
      <c r="AT7" s="40">
        <f>(AS7/(AS7+AR7))*100</f>
        <v>0</v>
      </c>
    </row>
    <row r="8" spans="1:46" x14ac:dyDescent="0.3">
      <c r="M8">
        <f>Fsw</f>
        <v>445000</v>
      </c>
      <c r="Q8">
        <v>1</v>
      </c>
      <c r="R8" s="39">
        <f t="shared" si="0"/>
        <v>54</v>
      </c>
      <c r="S8" s="37">
        <f t="shared" si="1"/>
        <v>3.3333333333333335E-3</v>
      </c>
      <c r="T8" s="37">
        <f t="shared" si="2"/>
        <v>45</v>
      </c>
      <c r="U8" s="40">
        <f t="shared" si="3"/>
        <v>4.1237113402061865E-3</v>
      </c>
      <c r="V8" s="39">
        <f t="shared" si="4"/>
        <v>1</v>
      </c>
      <c r="W8" s="37">
        <f t="shared" si="5"/>
        <v>2.717297132023604E-2</v>
      </c>
      <c r="X8" s="40">
        <f t="shared" si="6"/>
        <v>7.523893836669801E-2</v>
      </c>
      <c r="Y8" s="39">
        <f t="shared" si="7"/>
        <v>4.9068367151309064E-2</v>
      </c>
      <c r="Z8" s="37">
        <f t="shared" ref="Z8:Z15" si="17">CHOOSE(V8,Y8,U8+(0.5*Y8))</f>
        <v>4.9068367151309064E-2</v>
      </c>
      <c r="AA8" s="37">
        <f t="shared" ref="AA8:AA15" si="18">CHOOSE(V8,Z8*SQRT((W8+X8)/3),SQRT((U8^2)+((Y8^2)/12)))</f>
        <v>9.0660103623366357E-3</v>
      </c>
      <c r="AB8" s="37">
        <v>0</v>
      </c>
      <c r="AC8" s="37">
        <f t="shared" si="8"/>
        <v>1.8904285094698911E-5</v>
      </c>
      <c r="AD8" s="40">
        <f t="shared" ref="AD8:AD71" si="19">AB8+AC8</f>
        <v>1.8904285094698911E-5</v>
      </c>
      <c r="AE8" s="39">
        <f>U8*W8</f>
        <v>1.1205348998035483E-4</v>
      </c>
      <c r="AF8" s="37">
        <f t="shared" ref="AF8:AF71" si="20">CHOOSE(V8,Z8*SQRT(W8/3),SQRT(W8*((Z8^2)+((Y8^2)/3)-(Z8*Y8))))</f>
        <v>4.6699211105070701E-3</v>
      </c>
      <c r="AG8" s="37">
        <f t="shared" si="9"/>
        <v>1.003175506204541E-7</v>
      </c>
      <c r="AH8" s="37">
        <f t="shared" si="10"/>
        <v>2.0064903716036833E-3</v>
      </c>
      <c r="AI8" s="40">
        <f t="shared" ref="AI8:AI71" si="21">AG8+AH8</f>
        <v>2.0065906891543039E-3</v>
      </c>
      <c r="AJ8" s="39">
        <f t="shared" ref="AJ8:AJ71" si="22">X8*U8</f>
        <v>3.1026366336782694E-4</v>
      </c>
      <c r="AK8" s="37">
        <f t="shared" si="11"/>
        <v>7.7707387494134464E-3</v>
      </c>
      <c r="AL8" s="37">
        <f t="shared" si="12"/>
        <v>1.5E-3</v>
      </c>
      <c r="AM8" s="37">
        <f t="shared" si="13"/>
        <v>0.2423025</v>
      </c>
      <c r="AN8" s="40">
        <f t="shared" ref="AN8:AN71" si="23">AL8+AM8</f>
        <v>0.24380250000000001</v>
      </c>
      <c r="AO8" s="39">
        <f t="shared" si="14"/>
        <v>1.3084897907015752E-6</v>
      </c>
      <c r="AP8" s="37">
        <f t="shared" si="15"/>
        <v>0.11834775000000002</v>
      </c>
      <c r="AQ8" s="40">
        <f t="shared" si="16"/>
        <v>2.0250000000000001E-2</v>
      </c>
      <c r="AR8" s="39">
        <f t="shared" ref="AR8:AR71" si="24">AO8+AN8+AI8+AD8+AP8+AQ8</f>
        <v>0.38442705346403971</v>
      </c>
      <c r="AS8" s="37">
        <f t="shared" ref="AS8:AS71" si="25">R8*S8</f>
        <v>0.18000000000000002</v>
      </c>
      <c r="AT8" s="40">
        <f t="shared" ref="AT8:AT71" si="26">(AS8/(AS8+AR8))*100</f>
        <v>31.890746358682115</v>
      </c>
    </row>
    <row r="9" spans="1:46" x14ac:dyDescent="0.3">
      <c r="N9" s="37" t="s">
        <v>233</v>
      </c>
      <c r="O9" s="37">
        <f>VIN_var</f>
        <v>45</v>
      </c>
      <c r="P9" t="s">
        <v>10</v>
      </c>
      <c r="Q9">
        <v>2</v>
      </c>
      <c r="R9" s="39">
        <f t="shared" si="0"/>
        <v>54</v>
      </c>
      <c r="S9" s="37">
        <f t="shared" si="1"/>
        <v>6.6666666666666671E-3</v>
      </c>
      <c r="T9" s="37">
        <f t="shared" si="2"/>
        <v>45</v>
      </c>
      <c r="U9" s="40">
        <f t="shared" si="3"/>
        <v>8.2474226804123731E-3</v>
      </c>
      <c r="V9" s="39">
        <f t="shared" si="4"/>
        <v>1</v>
      </c>
      <c r="W9" s="37">
        <f t="shared" si="5"/>
        <v>3.8428384571052951E-2</v>
      </c>
      <c r="X9" s="40">
        <f t="shared" si="6"/>
        <v>0.10640392705673772</v>
      </c>
      <c r="Y9" s="39">
        <f t="shared" si="7"/>
        <v>6.9393150308883739E-2</v>
      </c>
      <c r="Z9" s="37">
        <f t="shared" si="17"/>
        <v>6.9393150308883739E-2</v>
      </c>
      <c r="AA9" s="37">
        <f t="shared" si="18"/>
        <v>1.5247151228683808E-2</v>
      </c>
      <c r="AB9" s="37">
        <v>0</v>
      </c>
      <c r="AC9" s="37">
        <f t="shared" si="8"/>
        <v>5.3469392735781463E-5</v>
      </c>
      <c r="AD9" s="40">
        <f t="shared" si="19"/>
        <v>5.3469392735781463E-5</v>
      </c>
      <c r="AE9" s="39">
        <f t="shared" ref="AE9:AE72" si="27">U9*W9</f>
        <v>3.16935130482911E-4</v>
      </c>
      <c r="AF9" s="37">
        <f t="shared" si="20"/>
        <v>7.8538398426860802E-3</v>
      </c>
      <c r="AG9" s="37">
        <f t="shared" si="9"/>
        <v>2.8374088126299123E-7</v>
      </c>
      <c r="AH9" s="37">
        <f t="shared" si="10"/>
        <v>4.0129807432073665E-3</v>
      </c>
      <c r="AI9" s="40">
        <f t="shared" si="21"/>
        <v>4.0132644840886293E-3</v>
      </c>
      <c r="AJ9" s="39">
        <f t="shared" si="22"/>
        <v>8.7755816129268241E-4</v>
      </c>
      <c r="AK9" s="37">
        <f t="shared" si="11"/>
        <v>1.3068772716509795E-2</v>
      </c>
      <c r="AL9" s="37">
        <f t="shared" si="12"/>
        <v>3.0000000000000001E-3</v>
      </c>
      <c r="AM9" s="37">
        <f t="shared" si="13"/>
        <v>0.2423025</v>
      </c>
      <c r="AN9" s="40">
        <f t="shared" si="23"/>
        <v>0.24530250000000001</v>
      </c>
      <c r="AO9" s="39">
        <f t="shared" si="14"/>
        <v>3.7009680164737987E-6</v>
      </c>
      <c r="AP9" s="37">
        <f t="shared" si="15"/>
        <v>0.11834775000000002</v>
      </c>
      <c r="AQ9" s="40">
        <f t="shared" si="16"/>
        <v>2.0250000000000001E-2</v>
      </c>
      <c r="AR9" s="39">
        <f t="shared" si="24"/>
        <v>0.38797068484484087</v>
      </c>
      <c r="AS9" s="37">
        <f t="shared" si="25"/>
        <v>0.36000000000000004</v>
      </c>
      <c r="AT9" s="40">
        <f t="shared" si="26"/>
        <v>48.130228536253192</v>
      </c>
    </row>
    <row r="10" spans="1:46" x14ac:dyDescent="0.3">
      <c r="N10" s="37"/>
      <c r="O10" s="37"/>
      <c r="Q10">
        <v>3</v>
      </c>
      <c r="R10" s="39">
        <f t="shared" si="0"/>
        <v>54</v>
      </c>
      <c r="S10" s="37">
        <f t="shared" si="1"/>
        <v>0.01</v>
      </c>
      <c r="T10" s="37">
        <f t="shared" si="2"/>
        <v>45</v>
      </c>
      <c r="U10" s="40">
        <f t="shared" si="3"/>
        <v>1.2371134020618558E-2</v>
      </c>
      <c r="V10" s="39">
        <f t="shared" si="4"/>
        <v>1</v>
      </c>
      <c r="W10" s="37">
        <f t="shared" si="5"/>
        <v>4.7064966919260771E-2</v>
      </c>
      <c r="X10" s="40">
        <f t="shared" si="6"/>
        <v>0.13031766395866426</v>
      </c>
      <c r="Y10" s="39">
        <f t="shared" si="7"/>
        <v>8.4988904950511021E-2</v>
      </c>
      <c r="Z10" s="37">
        <f t="shared" si="17"/>
        <v>8.4988904950511021E-2</v>
      </c>
      <c r="AA10" s="37">
        <f t="shared" si="18"/>
        <v>2.0666034599371493E-2</v>
      </c>
      <c r="AB10" s="37">
        <v>0</v>
      </c>
      <c r="AC10" s="37">
        <f t="shared" si="8"/>
        <v>9.8229546794356535E-5</v>
      </c>
      <c r="AD10" s="40">
        <f t="shared" si="19"/>
        <v>9.8229546794356535E-5</v>
      </c>
      <c r="AE10" s="39">
        <f t="shared" si="27"/>
        <v>5.8224701343415389E-4</v>
      </c>
      <c r="AF10" s="37">
        <f t="shared" si="20"/>
        <v>1.0645118126822957E-2</v>
      </c>
      <c r="AG10" s="37">
        <f t="shared" si="9"/>
        <v>5.212652836964676E-7</v>
      </c>
      <c r="AH10" s="37">
        <f t="shared" si="10"/>
        <v>6.0194711148110498E-3</v>
      </c>
      <c r="AI10" s="40">
        <f t="shared" si="21"/>
        <v>6.0199923800947465E-3</v>
      </c>
      <c r="AJ10" s="39">
        <f t="shared" si="22"/>
        <v>1.6121772860865683E-3</v>
      </c>
      <c r="AK10" s="37">
        <f t="shared" si="11"/>
        <v>1.7713453817039888E-2</v>
      </c>
      <c r="AL10" s="37">
        <f t="shared" si="12"/>
        <v>4.5000000000000005E-3</v>
      </c>
      <c r="AM10" s="37">
        <f t="shared" si="13"/>
        <v>0.2423025</v>
      </c>
      <c r="AN10" s="40">
        <f t="shared" si="23"/>
        <v>0.24680250000000001</v>
      </c>
      <c r="AO10" s="39">
        <f t="shared" si="14"/>
        <v>6.7991123960408815E-6</v>
      </c>
      <c r="AP10" s="37">
        <f t="shared" si="15"/>
        <v>0.11834775000000002</v>
      </c>
      <c r="AQ10" s="40">
        <f t="shared" si="16"/>
        <v>2.0250000000000001E-2</v>
      </c>
      <c r="AR10" s="39">
        <f t="shared" si="24"/>
        <v>0.39152527103928514</v>
      </c>
      <c r="AS10" s="37">
        <f t="shared" si="25"/>
        <v>0.54</v>
      </c>
      <c r="AT10" s="40">
        <f t="shared" si="26"/>
        <v>57.969441816380595</v>
      </c>
    </row>
    <row r="11" spans="1:46" x14ac:dyDescent="0.3">
      <c r="N11" s="37" t="s">
        <v>325</v>
      </c>
      <c r="O11" s="37">
        <v>150</v>
      </c>
      <c r="Q11">
        <v>4</v>
      </c>
      <c r="R11" s="39">
        <f t="shared" si="0"/>
        <v>54</v>
      </c>
      <c r="S11" s="37">
        <f t="shared" si="1"/>
        <v>1.3333333333333334E-2</v>
      </c>
      <c r="T11" s="37">
        <f t="shared" si="2"/>
        <v>45</v>
      </c>
      <c r="U11" s="40">
        <f t="shared" si="3"/>
        <v>1.6494845360824746E-2</v>
      </c>
      <c r="V11" s="39">
        <f t="shared" si="4"/>
        <v>1</v>
      </c>
      <c r="W11" s="37">
        <f t="shared" si="5"/>
        <v>5.4345942640472079E-2</v>
      </c>
      <c r="X11" s="40">
        <f t="shared" si="6"/>
        <v>0.15047787673339602</v>
      </c>
      <c r="Y11" s="39">
        <f t="shared" si="7"/>
        <v>9.8136734302618128E-2</v>
      </c>
      <c r="Z11" s="37">
        <f t="shared" si="17"/>
        <v>9.8136734302618128E-2</v>
      </c>
      <c r="AA11" s="37">
        <f t="shared" si="18"/>
        <v>2.5642549622062971E-2</v>
      </c>
      <c r="AB11" s="37">
        <v>0</v>
      </c>
      <c r="AC11" s="37">
        <f t="shared" si="8"/>
        <v>1.5123428075759123E-4</v>
      </c>
      <c r="AD11" s="40">
        <f t="shared" si="19"/>
        <v>1.5123428075759123E-4</v>
      </c>
      <c r="AE11" s="39">
        <f t="shared" si="27"/>
        <v>8.964279198428386E-4</v>
      </c>
      <c r="AF11" s="37">
        <f t="shared" si="20"/>
        <v>1.3208531539383046E-2</v>
      </c>
      <c r="AG11" s="37">
        <f t="shared" si="9"/>
        <v>8.0254040496363261E-7</v>
      </c>
      <c r="AH11" s="37">
        <f t="shared" si="10"/>
        <v>8.025961486414733E-3</v>
      </c>
      <c r="AI11" s="40">
        <f t="shared" si="21"/>
        <v>8.0267640268196962E-3</v>
      </c>
      <c r="AJ11" s="39">
        <f t="shared" si="22"/>
        <v>2.4821093069426156E-3</v>
      </c>
      <c r="AK11" s="37">
        <f t="shared" si="11"/>
        <v>2.1978968258157278E-2</v>
      </c>
      <c r="AL11" s="37">
        <f t="shared" si="12"/>
        <v>6.0000000000000001E-3</v>
      </c>
      <c r="AM11" s="37">
        <f t="shared" si="13"/>
        <v>0.2423025</v>
      </c>
      <c r="AN11" s="40">
        <f t="shared" si="23"/>
        <v>0.24830250000000001</v>
      </c>
      <c r="AO11" s="39">
        <f t="shared" si="14"/>
        <v>1.04679183256126E-5</v>
      </c>
      <c r="AP11" s="37">
        <f t="shared" si="15"/>
        <v>0.11834775000000002</v>
      </c>
      <c r="AQ11" s="40">
        <f t="shared" si="16"/>
        <v>2.0250000000000001E-2</v>
      </c>
      <c r="AR11" s="39">
        <f t="shared" si="24"/>
        <v>0.39508871622590291</v>
      </c>
      <c r="AS11" s="37">
        <f t="shared" si="25"/>
        <v>0.72000000000000008</v>
      </c>
      <c r="AT11" s="40">
        <f t="shared" si="26"/>
        <v>64.56885353811947</v>
      </c>
    </row>
    <row r="12" spans="1:46" x14ac:dyDescent="0.3">
      <c r="N12" s="37" t="s">
        <v>326</v>
      </c>
      <c r="O12" s="37">
        <f>IOUT/(O11)</f>
        <v>3.3333333333333335E-3</v>
      </c>
      <c r="Q12">
        <v>5</v>
      </c>
      <c r="R12" s="39">
        <f t="shared" si="0"/>
        <v>54</v>
      </c>
      <c r="S12" s="37">
        <f t="shared" si="1"/>
        <v>1.6666666666666666E-2</v>
      </c>
      <c r="T12" s="37">
        <f t="shared" si="2"/>
        <v>45</v>
      </c>
      <c r="U12" s="40">
        <f t="shared" si="3"/>
        <v>2.0618556701030927E-2</v>
      </c>
      <c r="V12" s="39">
        <f t="shared" si="4"/>
        <v>1</v>
      </c>
      <c r="W12" s="37">
        <f t="shared" si="5"/>
        <v>6.0760611022699994E-2</v>
      </c>
      <c r="X12" s="40">
        <f t="shared" si="6"/>
        <v>0.16823938074285377</v>
      </c>
      <c r="Y12" s="39">
        <f t="shared" si="7"/>
        <v>0.10972020449524478</v>
      </c>
      <c r="Z12" s="37">
        <f t="shared" si="17"/>
        <v>0.10972020449524478</v>
      </c>
      <c r="AA12" s="37">
        <f t="shared" si="18"/>
        <v>3.0314032673142016E-2</v>
      </c>
      <c r="AB12" s="37">
        <v>0</v>
      </c>
      <c r="AC12" s="37">
        <f t="shared" si="8"/>
        <v>2.1135633268891399E-4</v>
      </c>
      <c r="AD12" s="40">
        <f t="shared" si="19"/>
        <v>2.1135633268891399E-4</v>
      </c>
      <c r="AE12" s="39">
        <f t="shared" si="27"/>
        <v>1.2527961035608247E-3</v>
      </c>
      <c r="AF12" s="37">
        <f t="shared" si="20"/>
        <v>1.5614822338281648E-2</v>
      </c>
      <c r="AG12" s="37">
        <f t="shared" si="9"/>
        <v>1.121584312618058E-6</v>
      </c>
      <c r="AH12" s="37">
        <f t="shared" si="10"/>
        <v>1.0032451858018416E-2</v>
      </c>
      <c r="AI12" s="40">
        <f t="shared" si="21"/>
        <v>1.0033573442331035E-2</v>
      </c>
      <c r="AJ12" s="39">
        <f t="shared" si="22"/>
        <v>3.4688532111928614E-3</v>
      </c>
      <c r="AK12" s="37">
        <f t="shared" si="11"/>
        <v>2.5983031005874242E-2</v>
      </c>
      <c r="AL12" s="37">
        <f t="shared" si="12"/>
        <v>7.4999999999999997E-3</v>
      </c>
      <c r="AM12" s="37">
        <f t="shared" si="13"/>
        <v>0.2423025</v>
      </c>
      <c r="AN12" s="40">
        <f t="shared" si="23"/>
        <v>0.24980250000000001</v>
      </c>
      <c r="AO12" s="39">
        <f t="shared" si="14"/>
        <v>1.4629360599365972E-5</v>
      </c>
      <c r="AP12" s="37">
        <f t="shared" si="15"/>
        <v>0.11834775000000002</v>
      </c>
      <c r="AQ12" s="40">
        <f t="shared" si="16"/>
        <v>2.0250000000000001E-2</v>
      </c>
      <c r="AR12" s="39">
        <f t="shared" si="24"/>
        <v>0.39865980913561938</v>
      </c>
      <c r="AS12" s="37">
        <f t="shared" si="25"/>
        <v>0.9</v>
      </c>
      <c r="AT12" s="40">
        <f t="shared" si="26"/>
        <v>69.302213995444646</v>
      </c>
    </row>
    <row r="13" spans="1:46" x14ac:dyDescent="0.3">
      <c r="Q13">
        <v>6</v>
      </c>
      <c r="R13" s="39">
        <f t="shared" si="0"/>
        <v>54</v>
      </c>
      <c r="S13" s="37">
        <f t="shared" si="1"/>
        <v>0.02</v>
      </c>
      <c r="T13" s="37">
        <f t="shared" si="2"/>
        <v>45</v>
      </c>
      <c r="U13" s="40">
        <f t="shared" si="3"/>
        <v>2.4742268041237116E-2</v>
      </c>
      <c r="V13" s="39">
        <f t="shared" si="4"/>
        <v>1</v>
      </c>
      <c r="W13" s="37">
        <f t="shared" si="5"/>
        <v>6.6559914529859654E-2</v>
      </c>
      <c r="X13" s="40">
        <f t="shared" si="6"/>
        <v>0.18429700778712252</v>
      </c>
      <c r="Y13" s="39">
        <f t="shared" si="7"/>
        <v>0.12019246203225059</v>
      </c>
      <c r="Z13" s="37">
        <f t="shared" si="17"/>
        <v>0.12019246203225059</v>
      </c>
      <c r="AA13" s="37">
        <f t="shared" si="18"/>
        <v>3.4755988824241461E-2</v>
      </c>
      <c r="AB13" s="37">
        <v>0</v>
      </c>
      <c r="AC13" s="37">
        <f t="shared" si="8"/>
        <v>2.7783511460468337E-4</v>
      </c>
      <c r="AD13" s="40">
        <f t="shared" si="19"/>
        <v>2.7783511460468337E-4</v>
      </c>
      <c r="AE13" s="39">
        <f t="shared" si="27"/>
        <v>1.6468432460996205E-3</v>
      </c>
      <c r="AF13" s="37">
        <f t="shared" si="20"/>
        <v>1.7902883345595526E-2</v>
      </c>
      <c r="AG13" s="37">
        <f t="shared" si="9"/>
        <v>1.4743608675956076E-6</v>
      </c>
      <c r="AH13" s="37">
        <f t="shared" si="10"/>
        <v>1.20389422296221E-2</v>
      </c>
      <c r="AI13" s="40">
        <f t="shared" si="21"/>
        <v>1.2040416590489695E-2</v>
      </c>
      <c r="AJ13" s="39">
        <f t="shared" si="22"/>
        <v>4.5599259658669492E-3</v>
      </c>
      <c r="AK13" s="37">
        <f t="shared" si="11"/>
        <v>2.9790359633022151E-2</v>
      </c>
      <c r="AL13" s="37">
        <f t="shared" si="12"/>
        <v>9.0000000000000011E-3</v>
      </c>
      <c r="AM13" s="37">
        <f t="shared" si="13"/>
        <v>0.2423025</v>
      </c>
      <c r="AN13" s="40">
        <f t="shared" si="23"/>
        <v>0.25130249999999998</v>
      </c>
      <c r="AO13" s="39">
        <f t="shared" si="14"/>
        <v>1.9230793925160098E-5</v>
      </c>
      <c r="AP13" s="37">
        <f t="shared" si="15"/>
        <v>0.11834775000000002</v>
      </c>
      <c r="AQ13" s="40">
        <f t="shared" si="16"/>
        <v>2.0250000000000001E-2</v>
      </c>
      <c r="AR13" s="39">
        <f t="shared" si="24"/>
        <v>0.40223773249901956</v>
      </c>
      <c r="AS13" s="37">
        <f t="shared" si="25"/>
        <v>1.08</v>
      </c>
      <c r="AT13" s="40">
        <f t="shared" si="26"/>
        <v>72.862805764574901</v>
      </c>
    </row>
    <row r="14" spans="1:46" x14ac:dyDescent="0.3">
      <c r="Q14">
        <v>7</v>
      </c>
      <c r="R14" s="39">
        <f t="shared" si="0"/>
        <v>54</v>
      </c>
      <c r="S14" s="37">
        <f t="shared" si="1"/>
        <v>2.3333333333333334E-2</v>
      </c>
      <c r="T14" s="37">
        <f t="shared" si="2"/>
        <v>45</v>
      </c>
      <c r="U14" s="40">
        <f t="shared" si="3"/>
        <v>2.88659793814433E-2</v>
      </c>
      <c r="V14" s="39">
        <f t="shared" si="4"/>
        <v>1</v>
      </c>
      <c r="W14" s="37">
        <f t="shared" si="5"/>
        <v>7.1892924496035029E-2</v>
      </c>
      <c r="X14" s="40">
        <f t="shared" si="6"/>
        <v>0.19906351982679923</v>
      </c>
      <c r="Y14" s="39">
        <f t="shared" si="7"/>
        <v>0.12982269672237468</v>
      </c>
      <c r="Z14" s="37">
        <f t="shared" si="17"/>
        <v>0.12982269672237468</v>
      </c>
      <c r="AA14" s="37">
        <f t="shared" si="18"/>
        <v>3.9015730357085748E-2</v>
      </c>
      <c r="AB14" s="37">
        <v>0</v>
      </c>
      <c r="AC14" s="37">
        <f t="shared" si="8"/>
        <v>3.5011225951826915E-4</v>
      </c>
      <c r="AD14" s="40">
        <f t="shared" si="19"/>
        <v>3.5011225951826915E-4</v>
      </c>
      <c r="AE14" s="39">
        <f t="shared" si="27"/>
        <v>2.0752596761742072E-3</v>
      </c>
      <c r="AF14" s="37">
        <f t="shared" si="20"/>
        <v>2.0097085217697316E-2</v>
      </c>
      <c r="AG14" s="37">
        <f t="shared" si="9"/>
        <v>1.8579070375379845E-6</v>
      </c>
      <c r="AH14" s="37">
        <f t="shared" si="10"/>
        <v>1.4045432601225781E-2</v>
      </c>
      <c r="AI14" s="40">
        <f t="shared" si="21"/>
        <v>1.4047290508263319E-2</v>
      </c>
      <c r="AJ14" s="39">
        <f t="shared" si="22"/>
        <v>5.7461634589179161E-3</v>
      </c>
      <c r="AK14" s="37">
        <f t="shared" si="11"/>
        <v>3.3441506859730984E-2</v>
      </c>
      <c r="AL14" s="37">
        <f t="shared" si="12"/>
        <v>1.0500000000000001E-2</v>
      </c>
      <c r="AM14" s="37">
        <f t="shared" si="13"/>
        <v>0.2423025</v>
      </c>
      <c r="AN14" s="40">
        <f t="shared" si="23"/>
        <v>0.25280249999999999</v>
      </c>
      <c r="AO14" s="39">
        <f t="shared" si="14"/>
        <v>2.4233570054843275E-5</v>
      </c>
      <c r="AP14" s="37">
        <f t="shared" si="15"/>
        <v>0.11834775000000002</v>
      </c>
      <c r="AQ14" s="40">
        <f t="shared" si="16"/>
        <v>2.0250000000000001E-2</v>
      </c>
      <c r="AR14" s="39">
        <f t="shared" si="24"/>
        <v>0.40582188633783639</v>
      </c>
      <c r="AS14" s="37">
        <f t="shared" si="25"/>
        <v>1.26</v>
      </c>
      <c r="AT14" s="40">
        <f t="shared" si="26"/>
        <v>75.638338668367467</v>
      </c>
    </row>
    <row r="15" spans="1:46" x14ac:dyDescent="0.3">
      <c r="O15">
        <f>0.205*2.5/(Lm*Fsw)</f>
        <v>2.0565810593900481E-2</v>
      </c>
      <c r="Q15">
        <v>8</v>
      </c>
      <c r="R15" s="39">
        <f t="shared" si="0"/>
        <v>54</v>
      </c>
      <c r="S15" s="37">
        <f t="shared" si="1"/>
        <v>2.6666666666666668E-2</v>
      </c>
      <c r="T15" s="37">
        <f t="shared" si="2"/>
        <v>45</v>
      </c>
      <c r="U15" s="40">
        <f t="shared" si="3"/>
        <v>3.2989690721649492E-2</v>
      </c>
      <c r="V15" s="39">
        <f t="shared" si="4"/>
        <v>1</v>
      </c>
      <c r="W15" s="37">
        <f t="shared" si="5"/>
        <v>7.6856769142105902E-2</v>
      </c>
      <c r="X15" s="40">
        <f t="shared" si="6"/>
        <v>0.21280785411347544</v>
      </c>
      <c r="Y15" s="39">
        <f t="shared" si="7"/>
        <v>0.13878630061776748</v>
      </c>
      <c r="Z15" s="37">
        <f t="shared" si="17"/>
        <v>0.13878630061776748</v>
      </c>
      <c r="AA15" s="37">
        <f t="shared" si="18"/>
        <v>4.3125456110316485E-2</v>
      </c>
      <c r="AB15" s="37">
        <v>0</v>
      </c>
      <c r="AC15" s="37">
        <f t="shared" si="8"/>
        <v>4.277551418862517E-4</v>
      </c>
      <c r="AD15" s="40">
        <f t="shared" si="19"/>
        <v>4.277551418862517E-4</v>
      </c>
      <c r="AE15" s="39">
        <f t="shared" si="27"/>
        <v>2.535481043863288E-3</v>
      </c>
      <c r="AF15" s="37">
        <f t="shared" si="20"/>
        <v>2.2214013644465659E-2</v>
      </c>
      <c r="AG15" s="37">
        <f t="shared" si="9"/>
        <v>2.2699270501039298E-6</v>
      </c>
      <c r="AH15" s="37">
        <f t="shared" si="10"/>
        <v>1.6051922972829466E-2</v>
      </c>
      <c r="AI15" s="40">
        <f t="shared" si="21"/>
        <v>1.6054192899879569E-2</v>
      </c>
      <c r="AJ15" s="39">
        <f t="shared" si="22"/>
        <v>7.0204652903414592E-3</v>
      </c>
      <c r="AK15" s="37">
        <f t="shared" si="11"/>
        <v>3.6964071238519254E-2</v>
      </c>
      <c r="AL15" s="37">
        <f t="shared" si="12"/>
        <v>1.2E-2</v>
      </c>
      <c r="AM15" s="37">
        <f t="shared" si="13"/>
        <v>0.2423025</v>
      </c>
      <c r="AN15" s="40">
        <f t="shared" si="23"/>
        <v>0.25430249999999999</v>
      </c>
      <c r="AO15" s="39">
        <f t="shared" si="14"/>
        <v>2.960774413179039E-5</v>
      </c>
      <c r="AP15" s="37">
        <f t="shared" si="15"/>
        <v>0.11834775000000002</v>
      </c>
      <c r="AQ15" s="40">
        <f t="shared" si="16"/>
        <v>2.0250000000000001E-2</v>
      </c>
      <c r="AR15" s="39">
        <f t="shared" si="24"/>
        <v>0.40941180578589764</v>
      </c>
      <c r="AS15" s="37">
        <f t="shared" si="25"/>
        <v>1.4400000000000002</v>
      </c>
      <c r="AT15" s="40">
        <f t="shared" si="26"/>
        <v>77.862593690326293</v>
      </c>
    </row>
    <row r="16" spans="1:46" x14ac:dyDescent="0.3">
      <c r="Q16">
        <v>9</v>
      </c>
      <c r="R16" s="39">
        <f t="shared" si="0"/>
        <v>54</v>
      </c>
      <c r="S16" s="37">
        <f t="shared" si="1"/>
        <v>3.0000000000000002E-2</v>
      </c>
      <c r="T16" s="37">
        <f t="shared" si="2"/>
        <v>45</v>
      </c>
      <c r="U16" s="40">
        <f t="shared" si="3"/>
        <v>3.7113402061855677E-2</v>
      </c>
      <c r="V16" s="39">
        <f t="shared" si="4"/>
        <v>1</v>
      </c>
      <c r="W16" s="37">
        <f t="shared" si="5"/>
        <v>8.1518913960708123E-2</v>
      </c>
      <c r="X16" s="40">
        <f t="shared" si="6"/>
        <v>0.22571681510009403</v>
      </c>
      <c r="Y16" s="39">
        <f t="shared" si="7"/>
        <v>0.14720510145392721</v>
      </c>
      <c r="Z16" s="37">
        <f t="shared" ref="Z16:Z79" si="28">CHOOSE(V16,Y16,U16+(0.5*Y16))</f>
        <v>0.14720510145392721</v>
      </c>
      <c r="AA16" s="37">
        <f t="shared" ref="AA16:AA79" si="29">CHOOSE(V16,Z16*SQRT((W16+X16)/3),SQRT((U16^2)+((Y16^2)/12)))</f>
        <v>4.7108371708538932E-2</v>
      </c>
      <c r="AB16" s="37">
        <v>0</v>
      </c>
      <c r="AC16" s="37">
        <f t="shared" si="8"/>
        <v>5.104156975568704E-4</v>
      </c>
      <c r="AD16" s="40">
        <f t="shared" si="19"/>
        <v>5.104156975568704E-4</v>
      </c>
      <c r="AE16" s="39">
        <f t="shared" si="27"/>
        <v>3.0254442294695805E-3</v>
      </c>
      <c r="AF16" s="37">
        <f t="shared" si="20"/>
        <v>2.4265621892210158E-2</v>
      </c>
      <c r="AG16" s="37">
        <f t="shared" si="9"/>
        <v>2.7085738667522606E-6</v>
      </c>
      <c r="AH16" s="37">
        <f t="shared" si="10"/>
        <v>1.8058413344433151E-2</v>
      </c>
      <c r="AI16" s="40">
        <f t="shared" si="21"/>
        <v>1.8061121918299904E-2</v>
      </c>
      <c r="AJ16" s="39">
        <f t="shared" si="22"/>
        <v>8.3771189109313263E-3</v>
      </c>
      <c r="AK16" s="37">
        <f t="shared" si="11"/>
        <v>4.037794297898499E-2</v>
      </c>
      <c r="AL16" s="37">
        <f t="shared" si="12"/>
        <v>1.3500000000000002E-2</v>
      </c>
      <c r="AM16" s="37">
        <f t="shared" si="13"/>
        <v>0.2423025</v>
      </c>
      <c r="AN16" s="40">
        <f t="shared" si="23"/>
        <v>0.25580249999999999</v>
      </c>
      <c r="AO16" s="39">
        <f t="shared" si="14"/>
        <v>3.5329224348942527E-5</v>
      </c>
      <c r="AP16" s="37">
        <f t="shared" si="15"/>
        <v>0.11834775000000002</v>
      </c>
      <c r="AQ16" s="40">
        <f t="shared" si="16"/>
        <v>2.0250000000000001E-2</v>
      </c>
      <c r="AR16" s="39">
        <f t="shared" si="24"/>
        <v>0.41300711684020575</v>
      </c>
      <c r="AS16" s="37">
        <f t="shared" si="25"/>
        <v>1.62</v>
      </c>
      <c r="AT16" s="40">
        <f t="shared" si="26"/>
        <v>79.684915344412531</v>
      </c>
    </row>
    <row r="17" spans="17:46" x14ac:dyDescent="0.3">
      <c r="Q17">
        <v>10</v>
      </c>
      <c r="R17" s="39">
        <f t="shared" si="0"/>
        <v>54</v>
      </c>
      <c r="S17" s="37">
        <f t="shared" si="1"/>
        <v>3.3333333333333333E-2</v>
      </c>
      <c r="T17" s="37">
        <f t="shared" si="2"/>
        <v>45</v>
      </c>
      <c r="U17" s="40">
        <f t="shared" si="3"/>
        <v>4.1237113402061855E-2</v>
      </c>
      <c r="V17" s="39">
        <f t="shared" si="4"/>
        <v>1</v>
      </c>
      <c r="W17" s="37">
        <f t="shared" si="5"/>
        <v>8.592848016637851E-2</v>
      </c>
      <c r="X17" s="40">
        <f t="shared" si="6"/>
        <v>0.23792641397179473</v>
      </c>
      <c r="Y17" s="39">
        <f t="shared" si="7"/>
        <v>0.15516780126352461</v>
      </c>
      <c r="Z17" s="37">
        <f t="shared" si="28"/>
        <v>0.15516780126352461</v>
      </c>
      <c r="AA17" s="37">
        <f t="shared" si="29"/>
        <v>5.0981922813458209E-2</v>
      </c>
      <c r="AB17" s="37">
        <v>0</v>
      </c>
      <c r="AC17" s="37">
        <f t="shared" si="8"/>
        <v>5.9780598436420449E-4</v>
      </c>
      <c r="AD17" s="40">
        <f t="shared" si="19"/>
        <v>5.9780598436420449E-4</v>
      </c>
      <c r="AE17" s="39">
        <f t="shared" si="27"/>
        <v>3.5434424810877737E-3</v>
      </c>
      <c r="AF17" s="37">
        <f t="shared" si="20"/>
        <v>2.6260896258169329E-2</v>
      </c>
      <c r="AG17" s="37">
        <f t="shared" si="9"/>
        <v>3.1723194924987263E-6</v>
      </c>
      <c r="AH17" s="37">
        <f t="shared" si="10"/>
        <v>2.0064903716036833E-2</v>
      </c>
      <c r="AI17" s="40">
        <f t="shared" si="21"/>
        <v>2.006807603552933E-2</v>
      </c>
      <c r="AJ17" s="39">
        <f t="shared" si="22"/>
        <v>9.8113985143008127E-3</v>
      </c>
      <c r="AK17" s="37">
        <f t="shared" si="11"/>
        <v>4.3698075260531544E-2</v>
      </c>
      <c r="AL17" s="37">
        <f t="shared" si="12"/>
        <v>1.4999999999999999E-2</v>
      </c>
      <c r="AM17" s="37">
        <f t="shared" si="13"/>
        <v>0.2423025</v>
      </c>
      <c r="AN17" s="40">
        <f t="shared" si="23"/>
        <v>0.25730249999999999</v>
      </c>
      <c r="AO17" s="39">
        <f t="shared" si="14"/>
        <v>4.1378080336939909E-5</v>
      </c>
      <c r="AP17" s="37">
        <f t="shared" si="15"/>
        <v>0.11834775000000002</v>
      </c>
      <c r="AQ17" s="40">
        <f t="shared" si="16"/>
        <v>2.0250000000000001E-2</v>
      </c>
      <c r="AR17" s="39">
        <f t="shared" si="24"/>
        <v>0.4166075101002305</v>
      </c>
      <c r="AS17" s="37">
        <f t="shared" si="25"/>
        <v>1.8</v>
      </c>
      <c r="AT17" s="40">
        <f t="shared" si="26"/>
        <v>81.205174655327568</v>
      </c>
    </row>
    <row r="18" spans="17:46" x14ac:dyDescent="0.3">
      <c r="Q18">
        <v>11</v>
      </c>
      <c r="R18" s="39">
        <f t="shared" si="0"/>
        <v>54</v>
      </c>
      <c r="S18" s="37">
        <f t="shared" si="1"/>
        <v>3.6666666666666667E-2</v>
      </c>
      <c r="T18" s="37">
        <f t="shared" si="2"/>
        <v>45</v>
      </c>
      <c r="U18" s="40">
        <f t="shared" si="3"/>
        <v>4.536082474226804E-2</v>
      </c>
      <c r="V18" s="39">
        <f t="shared" si="4"/>
        <v>1</v>
      </c>
      <c r="W18" s="37">
        <f t="shared" si="5"/>
        <v>9.012255030831115E-2</v>
      </c>
      <c r="X18" s="40">
        <f t="shared" si="6"/>
        <v>0.24953932818701269</v>
      </c>
      <c r="Y18" s="39">
        <f t="shared" si="7"/>
        <v>0.16274136291629221</v>
      </c>
      <c r="Z18" s="37">
        <f t="shared" si="28"/>
        <v>0.16274136291629221</v>
      </c>
      <c r="AA18" s="37">
        <f t="shared" si="29"/>
        <v>5.4759657733839576E-2</v>
      </c>
      <c r="AB18" s="37">
        <v>0</v>
      </c>
      <c r="AC18" s="37">
        <f t="shared" si="8"/>
        <v>6.8968262647926902E-4</v>
      </c>
      <c r="AD18" s="40">
        <f t="shared" si="19"/>
        <v>6.8968262647926902E-4</v>
      </c>
      <c r="AE18" s="39">
        <f t="shared" si="27"/>
        <v>4.0880332098615366E-3</v>
      </c>
      <c r="AF18" s="37">
        <f t="shared" si="20"/>
        <v>2.8206815504840232E-2</v>
      </c>
      <c r="AG18" s="37">
        <f t="shared" si="9"/>
        <v>3.6598724282508385E-6</v>
      </c>
      <c r="AH18" s="37">
        <f t="shared" si="10"/>
        <v>2.2071394087640511E-2</v>
      </c>
      <c r="AI18" s="40">
        <f t="shared" si="21"/>
        <v>2.2075053960068761E-2</v>
      </c>
      <c r="AJ18" s="39">
        <f t="shared" si="22"/>
        <v>1.131930973219439E-2</v>
      </c>
      <c r="AK18" s="37">
        <f t="shared" si="11"/>
        <v>4.6936080729042151E-2</v>
      </c>
      <c r="AL18" s="37">
        <f t="shared" si="12"/>
        <v>1.6500000000000001E-2</v>
      </c>
      <c r="AM18" s="37">
        <f t="shared" si="13"/>
        <v>0.2423025</v>
      </c>
      <c r="AN18" s="40">
        <f t="shared" si="23"/>
        <v>0.25880249999999999</v>
      </c>
      <c r="AO18" s="39">
        <f t="shared" si="14"/>
        <v>4.7737466455445715E-5</v>
      </c>
      <c r="AP18" s="37">
        <f t="shared" si="15"/>
        <v>0.11834775000000002</v>
      </c>
      <c r="AQ18" s="40">
        <f t="shared" si="16"/>
        <v>2.0250000000000001E-2</v>
      </c>
      <c r="AR18" s="39">
        <f t="shared" si="24"/>
        <v>0.42021272405300347</v>
      </c>
      <c r="AS18" s="37">
        <f t="shared" si="25"/>
        <v>1.98</v>
      </c>
      <c r="AT18" s="40">
        <f t="shared" si="26"/>
        <v>82.492688258754342</v>
      </c>
    </row>
    <row r="19" spans="17:46" x14ac:dyDescent="0.3">
      <c r="Q19">
        <v>12</v>
      </c>
      <c r="R19" s="39">
        <f t="shared" si="0"/>
        <v>54</v>
      </c>
      <c r="S19" s="37">
        <f t="shared" si="1"/>
        <v>0.04</v>
      </c>
      <c r="T19" s="37">
        <f t="shared" si="2"/>
        <v>45</v>
      </c>
      <c r="U19" s="40">
        <f t="shared" si="3"/>
        <v>4.9484536082474231E-2</v>
      </c>
      <c r="V19" s="39">
        <f t="shared" si="4"/>
        <v>1</v>
      </c>
      <c r="W19" s="37">
        <f t="shared" si="5"/>
        <v>9.4129933838521543E-2</v>
      </c>
      <c r="X19" s="40">
        <f t="shared" si="6"/>
        <v>0.26063532791732852</v>
      </c>
      <c r="Y19" s="39">
        <f t="shared" si="7"/>
        <v>0.16997780990102204</v>
      </c>
      <c r="Z19" s="37">
        <f t="shared" si="28"/>
        <v>0.16997780990102204</v>
      </c>
      <c r="AA19" s="37">
        <f t="shared" si="29"/>
        <v>5.8452372821805591E-2</v>
      </c>
      <c r="AB19" s="37">
        <v>0</v>
      </c>
      <c r="AC19" s="37">
        <f t="shared" si="8"/>
        <v>7.8583637435485217E-4</v>
      </c>
      <c r="AD19" s="40">
        <f t="shared" si="19"/>
        <v>7.8583637435485217E-4</v>
      </c>
      <c r="AE19" s="39">
        <f t="shared" si="27"/>
        <v>4.6579761074732311E-3</v>
      </c>
      <c r="AF19" s="37">
        <f t="shared" si="20"/>
        <v>3.0108940856033401E-2</v>
      </c>
      <c r="AG19" s="37">
        <f t="shared" si="9"/>
        <v>4.1701222695717399E-6</v>
      </c>
      <c r="AH19" s="37">
        <f t="shared" si="10"/>
        <v>2.4077884459244199E-2</v>
      </c>
      <c r="AI19" s="40">
        <f t="shared" si="21"/>
        <v>2.408205458151377E-2</v>
      </c>
      <c r="AJ19" s="39">
        <f t="shared" si="22"/>
        <v>1.2897418288692546E-2</v>
      </c>
      <c r="AK19" s="37">
        <f t="shared" si="11"/>
        <v>5.0101213249054567E-2</v>
      </c>
      <c r="AL19" s="37">
        <f t="shared" si="12"/>
        <v>1.8000000000000002E-2</v>
      </c>
      <c r="AM19" s="37">
        <f t="shared" si="13"/>
        <v>0.2423025</v>
      </c>
      <c r="AN19" s="40">
        <f t="shared" si="23"/>
        <v>0.26030249999999999</v>
      </c>
      <c r="AO19" s="39">
        <f t="shared" si="14"/>
        <v>5.4392899168327039E-5</v>
      </c>
      <c r="AP19" s="37">
        <f t="shared" si="15"/>
        <v>0.11834775000000002</v>
      </c>
      <c r="AQ19" s="40">
        <f t="shared" si="16"/>
        <v>2.0250000000000001E-2</v>
      </c>
      <c r="AR19" s="39">
        <f t="shared" si="24"/>
        <v>0.42382253385503693</v>
      </c>
      <c r="AS19" s="37">
        <f t="shared" si="25"/>
        <v>2.16</v>
      </c>
      <c r="AT19" s="40">
        <f t="shared" si="26"/>
        <v>83.597072620049559</v>
      </c>
    </row>
    <row r="20" spans="17:46" x14ac:dyDescent="0.3">
      <c r="Q20">
        <v>13</v>
      </c>
      <c r="R20" s="39">
        <f t="shared" si="0"/>
        <v>54</v>
      </c>
      <c r="S20" s="37">
        <f t="shared" si="1"/>
        <v>4.3333333333333335E-2</v>
      </c>
      <c r="T20" s="37">
        <f t="shared" si="2"/>
        <v>45</v>
      </c>
      <c r="U20" s="40">
        <f t="shared" si="3"/>
        <v>5.3608247422680409E-2</v>
      </c>
      <c r="V20" s="39">
        <f t="shared" si="4"/>
        <v>1</v>
      </c>
      <c r="W20" s="37">
        <f t="shared" si="5"/>
        <v>9.7973541401823447E-2</v>
      </c>
      <c r="X20" s="40">
        <f t="shared" si="6"/>
        <v>0.27127785019260453</v>
      </c>
      <c r="Y20" s="39">
        <f t="shared" si="7"/>
        <v>0.17691851376733769</v>
      </c>
      <c r="Z20" s="37">
        <f t="shared" si="28"/>
        <v>0.17691851376733769</v>
      </c>
      <c r="AA20" s="37">
        <f t="shared" si="29"/>
        <v>6.206885377490573E-2</v>
      </c>
      <c r="AB20" s="37">
        <v>0</v>
      </c>
      <c r="AC20" s="37">
        <f t="shared" si="8"/>
        <v>8.8608480005404481E-4</v>
      </c>
      <c r="AD20" s="40">
        <f t="shared" si="19"/>
        <v>8.8608480005404481E-4</v>
      </c>
      <c r="AE20" s="39">
        <f t="shared" si="27"/>
        <v>5.2521898483451745E-3</v>
      </c>
      <c r="AF20" s="37">
        <f t="shared" si="20"/>
        <v>3.1971797843136619E-2</v>
      </c>
      <c r="AG20" s="37">
        <f t="shared" si="9"/>
        <v>4.7021009436830185E-6</v>
      </c>
      <c r="AH20" s="37">
        <f t="shared" si="10"/>
        <v>2.6084374830847877E-2</v>
      </c>
      <c r="AI20" s="40">
        <f t="shared" si="21"/>
        <v>2.608907693179156E-2</v>
      </c>
      <c r="AJ20" s="39">
        <f t="shared" si="22"/>
        <v>1.4542730113417973E-2</v>
      </c>
      <c r="AK20" s="37">
        <f t="shared" si="11"/>
        <v>5.320100329512812E-2</v>
      </c>
      <c r="AL20" s="37">
        <f t="shared" si="12"/>
        <v>1.95E-2</v>
      </c>
      <c r="AM20" s="37">
        <f t="shared" si="13"/>
        <v>0.2423025</v>
      </c>
      <c r="AN20" s="40">
        <f t="shared" si="23"/>
        <v>0.26180249999999999</v>
      </c>
      <c r="AO20" s="39">
        <f t="shared" si="14"/>
        <v>6.1331751439343718E-5</v>
      </c>
      <c r="AP20" s="37">
        <f t="shared" si="15"/>
        <v>0.11834775000000002</v>
      </c>
      <c r="AQ20" s="40">
        <f t="shared" si="16"/>
        <v>2.0250000000000001E-2</v>
      </c>
      <c r="AR20" s="39">
        <f t="shared" si="24"/>
        <v>0.42743674348328498</v>
      </c>
      <c r="AS20" s="37">
        <f t="shared" si="25"/>
        <v>2.34</v>
      </c>
      <c r="AT20" s="40">
        <f t="shared" si="26"/>
        <v>84.554778189969255</v>
      </c>
    </row>
    <row r="21" spans="17:46" x14ac:dyDescent="0.3">
      <c r="Q21">
        <v>14</v>
      </c>
      <c r="R21" s="39">
        <f t="shared" si="0"/>
        <v>54</v>
      </c>
      <c r="S21" s="37">
        <f t="shared" si="1"/>
        <v>4.6666666666666669E-2</v>
      </c>
      <c r="T21" s="37">
        <f t="shared" si="2"/>
        <v>45</v>
      </c>
      <c r="U21" s="40">
        <f t="shared" si="3"/>
        <v>5.7731958762886601E-2</v>
      </c>
      <c r="V21" s="39">
        <f t="shared" si="4"/>
        <v>1</v>
      </c>
      <c r="W21" s="37">
        <f t="shared" si="5"/>
        <v>0.10167194886095764</v>
      </c>
      <c r="X21" s="40">
        <f t="shared" si="6"/>
        <v>0.28151832951278494</v>
      </c>
      <c r="Y21" s="39">
        <f t="shared" si="7"/>
        <v>0.18359701840863141</v>
      </c>
      <c r="Z21" s="37">
        <f t="shared" si="28"/>
        <v>0.18359701840863141</v>
      </c>
      <c r="AA21" s="37">
        <f t="shared" si="29"/>
        <v>6.5616375591557863E-2</v>
      </c>
      <c r="AB21" s="37">
        <v>0</v>
      </c>
      <c r="AC21" s="37">
        <f t="shared" si="8"/>
        <v>9.902670115276499E-4</v>
      </c>
      <c r="AD21" s="40">
        <f t="shared" si="19"/>
        <v>9.902670115276499E-4</v>
      </c>
      <c r="AE21" s="39">
        <f t="shared" si="27"/>
        <v>5.8697207589831213E-3</v>
      </c>
      <c r="AF21" s="37">
        <f t="shared" si="20"/>
        <v>3.3799133833220182E-2</v>
      </c>
      <c r="AG21" s="37">
        <f t="shared" si="9"/>
        <v>5.2549546602292748E-6</v>
      </c>
      <c r="AH21" s="37">
        <f t="shared" si="10"/>
        <v>2.8090865202451562E-2</v>
      </c>
      <c r="AI21" s="40">
        <f t="shared" si="21"/>
        <v>2.8096120157111791E-2</v>
      </c>
      <c r="AJ21" s="39">
        <f t="shared" si="22"/>
        <v>1.6252604590428821E-2</v>
      </c>
      <c r="AK21" s="37">
        <f t="shared" si="11"/>
        <v>5.6241686478060562E-2</v>
      </c>
      <c r="AL21" s="37">
        <f t="shared" si="12"/>
        <v>2.1000000000000001E-2</v>
      </c>
      <c r="AM21" s="37">
        <f t="shared" si="13"/>
        <v>0.2423025</v>
      </c>
      <c r="AN21" s="40">
        <f t="shared" si="23"/>
        <v>0.26330249999999999</v>
      </c>
      <c r="AO21" s="39">
        <f t="shared" si="14"/>
        <v>6.854288687255575E-5</v>
      </c>
      <c r="AP21" s="37">
        <f t="shared" si="15"/>
        <v>0.11834775000000002</v>
      </c>
      <c r="AQ21" s="40">
        <f t="shared" si="16"/>
        <v>2.0250000000000001E-2</v>
      </c>
      <c r="AR21" s="39">
        <f t="shared" si="24"/>
        <v>0.43105518005551202</v>
      </c>
      <c r="AS21" s="37">
        <f t="shared" si="25"/>
        <v>2.52</v>
      </c>
      <c r="AT21" s="40">
        <f t="shared" si="26"/>
        <v>85.393184682930823</v>
      </c>
    </row>
    <row r="22" spans="17:46" x14ac:dyDescent="0.3">
      <c r="Q22">
        <v>15</v>
      </c>
      <c r="R22" s="39">
        <f t="shared" si="0"/>
        <v>54</v>
      </c>
      <c r="S22" s="37">
        <f t="shared" si="1"/>
        <v>0.05</v>
      </c>
      <c r="T22" s="37">
        <f t="shared" si="2"/>
        <v>45</v>
      </c>
      <c r="U22" s="40">
        <f t="shared" si="3"/>
        <v>6.1855670103092793E-2</v>
      </c>
      <c r="V22" s="39">
        <f t="shared" si="4"/>
        <v>1</v>
      </c>
      <c r="W22" s="37">
        <f t="shared" si="5"/>
        <v>0.10524046539024595</v>
      </c>
      <c r="X22" s="40">
        <f t="shared" si="6"/>
        <v>0.29139915528054766</v>
      </c>
      <c r="Y22" s="39">
        <f t="shared" si="7"/>
        <v>0.19004096880261109</v>
      </c>
      <c r="Z22" s="37">
        <f t="shared" si="28"/>
        <v>0.19004096880261109</v>
      </c>
      <c r="AA22" s="37">
        <f t="shared" si="29"/>
        <v>6.910105140318494E-2</v>
      </c>
      <c r="AB22" s="37">
        <v>0</v>
      </c>
      <c r="AC22" s="37">
        <f t="shared" si="8"/>
        <v>1.0982397201558898E-3</v>
      </c>
      <c r="AD22" s="40">
        <f t="shared" si="19"/>
        <v>1.0982397201558898E-3</v>
      </c>
      <c r="AE22" s="39">
        <f t="shared" si="27"/>
        <v>6.5097195086750081E-3</v>
      </c>
      <c r="AF22" s="37">
        <f t="shared" si="20"/>
        <v>3.5594097713208116E-2</v>
      </c>
      <c r="AG22" s="37">
        <f t="shared" si="9"/>
        <v>5.8279230432800735E-6</v>
      </c>
      <c r="AH22" s="37">
        <f t="shared" si="10"/>
        <v>3.0097355574055247E-2</v>
      </c>
      <c r="AI22" s="40">
        <f t="shared" si="21"/>
        <v>3.0103183497098528E-2</v>
      </c>
      <c r="AJ22" s="39">
        <f t="shared" si="22"/>
        <v>1.8024690017353465E-2</v>
      </c>
      <c r="AK22" s="37">
        <f t="shared" si="11"/>
        <v>5.9228502538965132E-2</v>
      </c>
      <c r="AL22" s="37">
        <f t="shared" si="12"/>
        <v>2.2500000000000003E-2</v>
      </c>
      <c r="AM22" s="37">
        <f t="shared" si="13"/>
        <v>0.2423025</v>
      </c>
      <c r="AN22" s="40">
        <f t="shared" si="23"/>
        <v>0.2648025</v>
      </c>
      <c r="AO22" s="39">
        <f t="shared" si="14"/>
        <v>7.6016387521044441E-5</v>
      </c>
      <c r="AP22" s="37">
        <f t="shared" si="15"/>
        <v>0.11834775000000002</v>
      </c>
      <c r="AQ22" s="40">
        <f t="shared" si="16"/>
        <v>2.0250000000000001E-2</v>
      </c>
      <c r="AR22" s="39">
        <f t="shared" si="24"/>
        <v>0.43467768960477543</v>
      </c>
      <c r="AS22" s="37">
        <f t="shared" si="25"/>
        <v>2.7</v>
      </c>
      <c r="AT22" s="40">
        <f t="shared" si="26"/>
        <v>86.133257302776158</v>
      </c>
    </row>
    <row r="23" spans="17:46" x14ac:dyDescent="0.3">
      <c r="Q23">
        <v>16</v>
      </c>
      <c r="R23" s="39">
        <f t="shared" si="0"/>
        <v>54</v>
      </c>
      <c r="S23" s="37">
        <f t="shared" si="1"/>
        <v>5.3333333333333337E-2</v>
      </c>
      <c r="T23" s="37">
        <f t="shared" si="2"/>
        <v>45</v>
      </c>
      <c r="U23" s="40">
        <f t="shared" si="3"/>
        <v>6.5979381443298984E-2</v>
      </c>
      <c r="V23" s="39">
        <f t="shared" si="4"/>
        <v>1</v>
      </c>
      <c r="W23" s="37">
        <f t="shared" si="5"/>
        <v>0.10869188528094416</v>
      </c>
      <c r="X23" s="40">
        <f t="shared" si="6"/>
        <v>0.30095575346679204</v>
      </c>
      <c r="Y23" s="39">
        <f t="shared" si="7"/>
        <v>0.19627346860523626</v>
      </c>
      <c r="Z23" s="37">
        <f t="shared" si="28"/>
        <v>0.19627346860523626</v>
      </c>
      <c r="AA23" s="37">
        <f t="shared" si="29"/>
        <v>7.2528082898693086E-2</v>
      </c>
      <c r="AB23" s="37">
        <v>0</v>
      </c>
      <c r="AC23" s="37">
        <f t="shared" si="8"/>
        <v>1.2098742460607303E-3</v>
      </c>
      <c r="AD23" s="40">
        <f t="shared" si="19"/>
        <v>1.2098742460607303E-3</v>
      </c>
      <c r="AE23" s="39">
        <f t="shared" si="27"/>
        <v>7.1714233587427088E-3</v>
      </c>
      <c r="AF23" s="37">
        <f t="shared" si="20"/>
        <v>3.7359368884056561E-2</v>
      </c>
      <c r="AG23" s="37">
        <f t="shared" si="9"/>
        <v>6.4203232397090626E-6</v>
      </c>
      <c r="AH23" s="37">
        <f t="shared" si="10"/>
        <v>3.2103845945658932E-2</v>
      </c>
      <c r="AI23" s="40">
        <f t="shared" si="21"/>
        <v>3.2110266268898638E-2</v>
      </c>
      <c r="AJ23" s="39">
        <f t="shared" si="22"/>
        <v>1.9856874455540924E-2</v>
      </c>
      <c r="AK23" s="37">
        <f t="shared" si="11"/>
        <v>6.2165909995307571E-2</v>
      </c>
      <c r="AL23" s="37">
        <f t="shared" si="12"/>
        <v>2.4E-2</v>
      </c>
      <c r="AM23" s="37">
        <f t="shared" si="13"/>
        <v>0.2423025</v>
      </c>
      <c r="AN23" s="40">
        <f t="shared" si="23"/>
        <v>0.2663025</v>
      </c>
      <c r="AO23" s="39">
        <f t="shared" si="14"/>
        <v>8.3743346604900815E-5</v>
      </c>
      <c r="AP23" s="37">
        <f t="shared" si="15"/>
        <v>0.11834775000000002</v>
      </c>
      <c r="AQ23" s="40">
        <f t="shared" si="16"/>
        <v>2.0250000000000001E-2</v>
      </c>
      <c r="AR23" s="39">
        <f t="shared" si="24"/>
        <v>0.43830413386156425</v>
      </c>
      <c r="AS23" s="37">
        <f t="shared" si="25"/>
        <v>2.8800000000000003</v>
      </c>
      <c r="AT23" s="40">
        <f t="shared" si="26"/>
        <v>86.791321223726939</v>
      </c>
    </row>
    <row r="24" spans="17:46" x14ac:dyDescent="0.3">
      <c r="Q24">
        <v>17</v>
      </c>
      <c r="R24" s="39">
        <f t="shared" si="0"/>
        <v>54</v>
      </c>
      <c r="S24" s="37">
        <f t="shared" si="1"/>
        <v>5.6666666666666671E-2</v>
      </c>
      <c r="T24" s="37">
        <f t="shared" si="2"/>
        <v>45</v>
      </c>
      <c r="U24" s="40">
        <f t="shared" si="3"/>
        <v>7.0103092783505155E-2</v>
      </c>
      <c r="V24" s="39">
        <f t="shared" si="4"/>
        <v>1</v>
      </c>
      <c r="W24" s="37">
        <f t="shared" si="5"/>
        <v>0.11203703091521257</v>
      </c>
      <c r="X24" s="40">
        <f t="shared" si="6"/>
        <v>0.31021809004523304</v>
      </c>
      <c r="Y24" s="39">
        <f t="shared" si="7"/>
        <v>0.20231406064143523</v>
      </c>
      <c r="Z24" s="37">
        <f t="shared" si="28"/>
        <v>0.20231406064143523</v>
      </c>
      <c r="AA24" s="37">
        <f t="shared" si="29"/>
        <v>7.5901944518196096E-2</v>
      </c>
      <c r="AB24" s="37">
        <v>0</v>
      </c>
      <c r="AC24" s="37">
        <f t="shared" si="8"/>
        <v>1.3250541917779633E-3</v>
      </c>
      <c r="AD24" s="40">
        <f t="shared" si="19"/>
        <v>1.3250541917779633E-3</v>
      </c>
      <c r="AE24" s="39">
        <f t="shared" si="27"/>
        <v>7.8541423734375827E-3</v>
      </c>
      <c r="AF24" s="37">
        <f t="shared" si="20"/>
        <v>3.9097252139330713E-2</v>
      </c>
      <c r="AG24" s="37">
        <f t="shared" si="9"/>
        <v>7.0315375742934398E-6</v>
      </c>
      <c r="AH24" s="37">
        <f t="shared" si="10"/>
        <v>3.411033631726261E-2</v>
      </c>
      <c r="AI24" s="40">
        <f t="shared" si="21"/>
        <v>3.4117367854836905E-2</v>
      </c>
      <c r="AJ24" s="39">
        <f t="shared" si="22"/>
        <v>2.1747247549562729E-2</v>
      </c>
      <c r="AK24" s="37">
        <f t="shared" si="11"/>
        <v>6.5057744018655619E-2</v>
      </c>
      <c r="AL24" s="37">
        <f t="shared" si="12"/>
        <v>2.5500000000000002E-2</v>
      </c>
      <c r="AM24" s="37">
        <f t="shared" si="13"/>
        <v>0.2423025</v>
      </c>
      <c r="AN24" s="40">
        <f t="shared" si="23"/>
        <v>0.2678025</v>
      </c>
      <c r="AO24" s="39">
        <f t="shared" si="14"/>
        <v>9.1715707490783987E-5</v>
      </c>
      <c r="AP24" s="37">
        <f t="shared" si="15"/>
        <v>0.11834775000000002</v>
      </c>
      <c r="AQ24" s="40">
        <f t="shared" si="16"/>
        <v>2.0250000000000001E-2</v>
      </c>
      <c r="AR24" s="39">
        <f t="shared" si="24"/>
        <v>0.44193438775410571</v>
      </c>
      <c r="AS24" s="37">
        <f t="shared" si="25"/>
        <v>3.06</v>
      </c>
      <c r="AT24" s="40">
        <f t="shared" si="26"/>
        <v>87.380277902992603</v>
      </c>
    </row>
    <row r="25" spans="17:46" x14ac:dyDescent="0.3">
      <c r="Q25">
        <v>18</v>
      </c>
      <c r="R25" s="39">
        <f t="shared" si="0"/>
        <v>54</v>
      </c>
      <c r="S25" s="37">
        <f t="shared" si="1"/>
        <v>6.0000000000000005E-2</v>
      </c>
      <c r="T25" s="37">
        <f t="shared" si="2"/>
        <v>45</v>
      </c>
      <c r="U25" s="40">
        <f t="shared" si="3"/>
        <v>7.4226804123711354E-2</v>
      </c>
      <c r="V25" s="39">
        <f t="shared" si="4"/>
        <v>1</v>
      </c>
      <c r="W25" s="37">
        <f t="shared" si="5"/>
        <v>0.11528515371315887</v>
      </c>
      <c r="X25" s="40">
        <f t="shared" si="6"/>
        <v>0.3192117811702132</v>
      </c>
      <c r="Y25" s="39">
        <f t="shared" si="7"/>
        <v>0.20817945092665127</v>
      </c>
      <c r="Z25" s="37">
        <f t="shared" si="28"/>
        <v>0.20817945092665127</v>
      </c>
      <c r="AA25" s="37">
        <f t="shared" si="29"/>
        <v>7.9226521796299798E-2</v>
      </c>
      <c r="AB25" s="37">
        <v>0</v>
      </c>
      <c r="AC25" s="37">
        <f t="shared" si="8"/>
        <v>1.4436736038661005E-3</v>
      </c>
      <c r="AD25" s="40">
        <f t="shared" si="19"/>
        <v>1.4436736038661005E-3</v>
      </c>
      <c r="AE25" s="39">
        <f t="shared" si="27"/>
        <v>8.5572485230385985E-3</v>
      </c>
      <c r="AF25" s="37">
        <f t="shared" si="20"/>
        <v>4.0809748926123164E-2</v>
      </c>
      <c r="AG25" s="37">
        <f t="shared" si="9"/>
        <v>7.661003794100769E-6</v>
      </c>
      <c r="AH25" s="37">
        <f t="shared" si="10"/>
        <v>3.6116826688866302E-2</v>
      </c>
      <c r="AI25" s="40">
        <f t="shared" si="21"/>
        <v>3.6124487692660405E-2</v>
      </c>
      <c r="AJ25" s="39">
        <f t="shared" si="22"/>
        <v>2.3694070354902428E-2</v>
      </c>
      <c r="AK25" s="37">
        <f t="shared" si="11"/>
        <v>6.7907335012694733E-2</v>
      </c>
      <c r="AL25" s="37">
        <f t="shared" si="12"/>
        <v>2.7000000000000003E-2</v>
      </c>
      <c r="AM25" s="37">
        <f t="shared" si="13"/>
        <v>0.2423025</v>
      </c>
      <c r="AN25" s="40">
        <f t="shared" si="23"/>
        <v>0.2693025</v>
      </c>
      <c r="AO25" s="39">
        <f t="shared" si="14"/>
        <v>9.9926136444792644E-5</v>
      </c>
      <c r="AP25" s="37">
        <f t="shared" si="15"/>
        <v>0.11834775000000002</v>
      </c>
      <c r="AQ25" s="40">
        <f t="shared" si="16"/>
        <v>2.0250000000000001E-2</v>
      </c>
      <c r="AR25" s="39">
        <f t="shared" si="24"/>
        <v>0.44556833743297131</v>
      </c>
      <c r="AS25" s="37">
        <f t="shared" si="25"/>
        <v>3.24</v>
      </c>
      <c r="AT25" s="40">
        <f t="shared" si="26"/>
        <v>87.910457855102123</v>
      </c>
    </row>
    <row r="26" spans="17:46" x14ac:dyDescent="0.3">
      <c r="Q26">
        <v>19</v>
      </c>
      <c r="R26" s="39">
        <f t="shared" si="0"/>
        <v>54</v>
      </c>
      <c r="S26" s="37">
        <f t="shared" si="1"/>
        <v>6.3333333333333339E-2</v>
      </c>
      <c r="T26" s="37">
        <f t="shared" si="2"/>
        <v>45</v>
      </c>
      <c r="U26" s="40">
        <f t="shared" si="3"/>
        <v>7.8350515463917539E-2</v>
      </c>
      <c r="V26" s="39">
        <f t="shared" si="4"/>
        <v>1</v>
      </c>
      <c r="W26" s="37">
        <f t="shared" si="5"/>
        <v>0.1184442359806379</v>
      </c>
      <c r="X26" s="40">
        <f t="shared" si="6"/>
        <v>0.32795892895972184</v>
      </c>
      <c r="Y26" s="39">
        <f t="shared" si="7"/>
        <v>0.21388405373710698</v>
      </c>
      <c r="Z26" s="37">
        <f t="shared" si="28"/>
        <v>0.21388405373710698</v>
      </c>
      <c r="AA26" s="37">
        <f t="shared" si="29"/>
        <v>8.2505217179590487E-2</v>
      </c>
      <c r="AB26" s="37">
        <v>0</v>
      </c>
      <c r="AC26" s="37">
        <f t="shared" si="8"/>
        <v>1.5656354982258205E-3</v>
      </c>
      <c r="AD26" s="40">
        <f t="shared" si="19"/>
        <v>1.5656354982258205E-3</v>
      </c>
      <c r="AE26" s="39">
        <f t="shared" si="27"/>
        <v>9.2801669428128671E-3</v>
      </c>
      <c r="AF26" s="37">
        <f t="shared" si="20"/>
        <v>4.2498611851866062E-2</v>
      </c>
      <c r="AG26" s="37">
        <f t="shared" si="9"/>
        <v>8.3082072429436236E-6</v>
      </c>
      <c r="AH26" s="37">
        <f t="shared" si="10"/>
        <v>3.8123317060469987E-2</v>
      </c>
      <c r="AI26" s="40">
        <f t="shared" si="21"/>
        <v>3.8131625267712931E-2</v>
      </c>
      <c r="AJ26" s="39">
        <f t="shared" si="22"/>
        <v>2.569575113498852E-2</v>
      </c>
      <c r="AK26" s="37">
        <f t="shared" si="11"/>
        <v>7.0717599312447144E-2</v>
      </c>
      <c r="AL26" s="37">
        <f t="shared" si="12"/>
        <v>2.8500000000000004E-2</v>
      </c>
      <c r="AM26" s="37">
        <f t="shared" si="13"/>
        <v>0.2423025</v>
      </c>
      <c r="AN26" s="40">
        <f t="shared" si="23"/>
        <v>0.2708025</v>
      </c>
      <c r="AO26" s="39">
        <f t="shared" si="14"/>
        <v>1.0836792056013423E-4</v>
      </c>
      <c r="AP26" s="37">
        <f t="shared" si="15"/>
        <v>0.11834775000000002</v>
      </c>
      <c r="AQ26" s="40">
        <f t="shared" si="16"/>
        <v>2.0250000000000001E-2</v>
      </c>
      <c r="AR26" s="39">
        <f t="shared" si="24"/>
        <v>0.44920587868649886</v>
      </c>
      <c r="AS26" s="37">
        <f t="shared" si="25"/>
        <v>3.4200000000000004</v>
      </c>
      <c r="AT26" s="40">
        <f t="shared" si="26"/>
        <v>88.39023063722334</v>
      </c>
    </row>
    <row r="27" spans="17:46" x14ac:dyDescent="0.3">
      <c r="Q27">
        <v>20</v>
      </c>
      <c r="R27" s="39">
        <f t="shared" si="0"/>
        <v>54</v>
      </c>
      <c r="S27" s="37">
        <f t="shared" si="1"/>
        <v>6.6666666666666666E-2</v>
      </c>
      <c r="T27" s="37">
        <f t="shared" si="2"/>
        <v>45</v>
      </c>
      <c r="U27" s="40">
        <f t="shared" si="3"/>
        <v>8.247422680412371E-2</v>
      </c>
      <c r="V27" s="39">
        <f t="shared" si="4"/>
        <v>1</v>
      </c>
      <c r="W27" s="37">
        <f t="shared" si="5"/>
        <v>0.12152122204539999</v>
      </c>
      <c r="X27" s="40">
        <f t="shared" si="6"/>
        <v>0.33647876148570754</v>
      </c>
      <c r="Y27" s="39">
        <f t="shared" si="7"/>
        <v>0.21944040899048955</v>
      </c>
      <c r="Z27" s="37">
        <f t="shared" si="28"/>
        <v>0.21944040899048955</v>
      </c>
      <c r="AA27" s="37">
        <f t="shared" si="29"/>
        <v>8.5741032273157131E-2</v>
      </c>
      <c r="AB27" s="37">
        <v>0</v>
      </c>
      <c r="AC27" s="37">
        <f t="shared" si="8"/>
        <v>1.6908506615113119E-3</v>
      </c>
      <c r="AD27" s="40">
        <f t="shared" si="19"/>
        <v>1.6908506615113119E-3</v>
      </c>
      <c r="AE27" s="39">
        <f t="shared" si="27"/>
        <v>1.0022368828486597E-2</v>
      </c>
      <c r="AF27" s="37">
        <f t="shared" si="20"/>
        <v>4.4165387049688545E-2</v>
      </c>
      <c r="AG27" s="37">
        <f t="shared" si="9"/>
        <v>8.9726745009444637E-6</v>
      </c>
      <c r="AH27" s="37">
        <f t="shared" si="10"/>
        <v>4.0129807432073665E-2</v>
      </c>
      <c r="AI27" s="40">
        <f t="shared" si="21"/>
        <v>4.0138780106574609E-2</v>
      </c>
      <c r="AJ27" s="39">
        <f t="shared" si="22"/>
        <v>2.7750825689542891E-2</v>
      </c>
      <c r="AK27" s="37">
        <f t="shared" si="11"/>
        <v>7.3491109680136002E-2</v>
      </c>
      <c r="AL27" s="37">
        <f t="shared" si="12"/>
        <v>0.03</v>
      </c>
      <c r="AM27" s="37">
        <f t="shared" si="13"/>
        <v>0.2423025</v>
      </c>
      <c r="AN27" s="40">
        <f t="shared" si="23"/>
        <v>0.2723025</v>
      </c>
      <c r="AO27" s="39">
        <f t="shared" si="14"/>
        <v>1.1703488479492779E-4</v>
      </c>
      <c r="AP27" s="37">
        <f t="shared" si="15"/>
        <v>0.11834775000000002</v>
      </c>
      <c r="AQ27" s="40">
        <f t="shared" si="16"/>
        <v>2.0250000000000001E-2</v>
      </c>
      <c r="AR27" s="39">
        <f t="shared" si="24"/>
        <v>0.45284691565288088</v>
      </c>
      <c r="AS27" s="37">
        <f t="shared" si="25"/>
        <v>3.6</v>
      </c>
      <c r="AT27" s="40">
        <f t="shared" si="26"/>
        <v>88.826449035025263</v>
      </c>
    </row>
    <row r="28" spans="17:46" x14ac:dyDescent="0.3">
      <c r="Q28">
        <v>21</v>
      </c>
      <c r="R28" s="39">
        <f t="shared" si="0"/>
        <v>54</v>
      </c>
      <c r="S28" s="37">
        <f t="shared" si="1"/>
        <v>7.0000000000000007E-2</v>
      </c>
      <c r="T28" s="37">
        <f t="shared" si="2"/>
        <v>45</v>
      </c>
      <c r="U28" s="40">
        <f t="shared" si="3"/>
        <v>8.6597938144329908E-2</v>
      </c>
      <c r="V28" s="39">
        <f t="shared" si="4"/>
        <v>1</v>
      </c>
      <c r="W28" s="37">
        <f t="shared" si="5"/>
        <v>0.1245221979318458</v>
      </c>
      <c r="X28" s="40">
        <f t="shared" si="6"/>
        <v>0.3447881302735108</v>
      </c>
      <c r="Y28" s="39">
        <f t="shared" si="7"/>
        <v>0.22485950669875848</v>
      </c>
      <c r="Z28" s="37">
        <f t="shared" si="28"/>
        <v>0.22485950669875848</v>
      </c>
      <c r="AA28" s="37">
        <f t="shared" si="29"/>
        <v>8.8936632681221692E-2</v>
      </c>
      <c r="AB28" s="37">
        <v>0</v>
      </c>
      <c r="AC28" s="37">
        <f t="shared" si="8"/>
        <v>1.8192366655151466E-3</v>
      </c>
      <c r="AD28" s="40">
        <f t="shared" si="19"/>
        <v>1.8192366655151466E-3</v>
      </c>
      <c r="AE28" s="39">
        <f t="shared" si="27"/>
        <v>1.0783365594097987E-2</v>
      </c>
      <c r="AF28" s="37">
        <f t="shared" si="20"/>
        <v>4.5811447577962572E-2</v>
      </c>
      <c r="AG28" s="37">
        <f t="shared" si="9"/>
        <v>9.653968154266699E-6</v>
      </c>
      <c r="AH28" s="37">
        <f t="shared" si="10"/>
        <v>4.2136297803677343E-2</v>
      </c>
      <c r="AI28" s="40">
        <f t="shared" si="21"/>
        <v>4.2145951771831607E-2</v>
      </c>
      <c r="AJ28" s="39">
        <f t="shared" si="22"/>
        <v>2.9857941178324649E-2</v>
      </c>
      <c r="AK28" s="37">
        <f t="shared" si="11"/>
        <v>7.6230150881958378E-2</v>
      </c>
      <c r="AL28" s="37">
        <f t="shared" si="12"/>
        <v>3.1500000000000007E-2</v>
      </c>
      <c r="AM28" s="37">
        <f t="shared" si="13"/>
        <v>0.2423025</v>
      </c>
      <c r="AN28" s="40">
        <f t="shared" si="23"/>
        <v>0.2738025</v>
      </c>
      <c r="AO28" s="39">
        <f t="shared" si="14"/>
        <v>1.2592132375130477E-4</v>
      </c>
      <c r="AP28" s="37">
        <f t="shared" si="15"/>
        <v>0.11834775000000002</v>
      </c>
      <c r="AQ28" s="40">
        <f t="shared" si="16"/>
        <v>2.0250000000000001E-2</v>
      </c>
      <c r="AR28" s="39">
        <f t="shared" si="24"/>
        <v>0.45649135976109811</v>
      </c>
      <c r="AS28" s="37">
        <f t="shared" si="25"/>
        <v>3.7800000000000002</v>
      </c>
      <c r="AT28" s="40">
        <f t="shared" si="26"/>
        <v>89.224777746582248</v>
      </c>
    </row>
    <row r="29" spans="17:46" x14ac:dyDescent="0.3">
      <c r="Q29">
        <v>22</v>
      </c>
      <c r="R29" s="39">
        <f t="shared" si="0"/>
        <v>54</v>
      </c>
      <c r="S29" s="37">
        <f t="shared" si="1"/>
        <v>7.3333333333333334E-2</v>
      </c>
      <c r="T29" s="37">
        <f t="shared" si="2"/>
        <v>45</v>
      </c>
      <c r="U29" s="40">
        <f t="shared" si="3"/>
        <v>9.0721649484536079E-2</v>
      </c>
      <c r="V29" s="39">
        <f t="shared" si="4"/>
        <v>1</v>
      </c>
      <c r="W29" s="37">
        <f t="shared" si="5"/>
        <v>0.12745253292166517</v>
      </c>
      <c r="X29" s="40">
        <f t="shared" si="6"/>
        <v>0.35290190226754398</v>
      </c>
      <c r="Y29" s="39">
        <f t="shared" si="7"/>
        <v>0.23015104259530231</v>
      </c>
      <c r="Z29" s="37">
        <f t="shared" si="28"/>
        <v>0.23015104259530231</v>
      </c>
      <c r="AA29" s="37">
        <f t="shared" si="29"/>
        <v>9.20943997778121E-2</v>
      </c>
      <c r="AB29" s="37">
        <v>0</v>
      </c>
      <c r="AC29" s="37">
        <f t="shared" si="8"/>
        <v>1.9507170482001596E-3</v>
      </c>
      <c r="AD29" s="40">
        <f t="shared" si="19"/>
        <v>1.9507170482001596E-3</v>
      </c>
      <c r="AE29" s="39">
        <f t="shared" si="27"/>
        <v>1.1562704017635603E-2</v>
      </c>
      <c r="AF29" s="37">
        <f t="shared" si="20"/>
        <v>4.7438020087486085E-2</v>
      </c>
      <c r="AG29" s="37">
        <f t="shared" si="9"/>
        <v>1.0351682449175374E-5</v>
      </c>
      <c r="AH29" s="37">
        <f t="shared" si="10"/>
        <v>4.4142788175281021E-2</v>
      </c>
      <c r="AI29" s="40">
        <f t="shared" si="21"/>
        <v>4.4153139857730193E-2</v>
      </c>
      <c r="AJ29" s="39">
        <f t="shared" si="22"/>
        <v>3.2015842679942133E-2</v>
      </c>
      <c r="AK29" s="37">
        <f t="shared" si="11"/>
        <v>7.8936764062220971E-2</v>
      </c>
      <c r="AL29" s="37">
        <f t="shared" si="12"/>
        <v>3.3000000000000002E-2</v>
      </c>
      <c r="AM29" s="37">
        <f t="shared" si="13"/>
        <v>0.2423025</v>
      </c>
      <c r="AN29" s="40">
        <f t="shared" si="23"/>
        <v>0.27530250000000001</v>
      </c>
      <c r="AO29" s="39">
        <f t="shared" si="14"/>
        <v>1.3502194498924401E-4</v>
      </c>
      <c r="AP29" s="37">
        <f t="shared" si="15"/>
        <v>0.11834775000000002</v>
      </c>
      <c r="AQ29" s="40">
        <f t="shared" si="16"/>
        <v>2.0250000000000001E-2</v>
      </c>
      <c r="AR29" s="39">
        <f t="shared" si="24"/>
        <v>0.46013912885091962</v>
      </c>
      <c r="AS29" s="37">
        <f t="shared" si="25"/>
        <v>3.96</v>
      </c>
      <c r="AT29" s="40">
        <f t="shared" si="26"/>
        <v>89.58994014809349</v>
      </c>
    </row>
    <row r="30" spans="17:46" x14ac:dyDescent="0.3">
      <c r="Q30">
        <v>23</v>
      </c>
      <c r="R30" s="39">
        <f t="shared" si="0"/>
        <v>54</v>
      </c>
      <c r="S30" s="37">
        <f t="shared" si="1"/>
        <v>7.6666666666666675E-2</v>
      </c>
      <c r="T30" s="37">
        <f t="shared" si="2"/>
        <v>45</v>
      </c>
      <c r="U30" s="40">
        <f t="shared" si="3"/>
        <v>9.4845360824742278E-2</v>
      </c>
      <c r="V30" s="39">
        <f t="shared" si="4"/>
        <v>1</v>
      </c>
      <c r="W30" s="37">
        <f t="shared" si="5"/>
        <v>0.13031699243966044</v>
      </c>
      <c r="X30" s="40">
        <f t="shared" si="6"/>
        <v>0.36083327239959312</v>
      </c>
      <c r="Y30" s="39">
        <f t="shared" si="7"/>
        <v>0.23532362198173035</v>
      </c>
      <c r="Z30" s="37">
        <f t="shared" si="28"/>
        <v>0.23532362198173035</v>
      </c>
      <c r="AA30" s="37">
        <f t="shared" si="29"/>
        <v>9.5216472515446487E-2</v>
      </c>
      <c r="AB30" s="37">
        <v>0</v>
      </c>
      <c r="AC30" s="37">
        <f t="shared" si="8"/>
        <v>2.0852206268054986E-3</v>
      </c>
      <c r="AD30" s="40">
        <f t="shared" si="19"/>
        <v>2.0852206268054986E-3</v>
      </c>
      <c r="AE30" s="39">
        <f t="shared" si="27"/>
        <v>1.2359962169534807E-2</v>
      </c>
      <c r="AF30" s="37">
        <f t="shared" si="20"/>
        <v>4.9046206357224668E-2</v>
      </c>
      <c r="AG30" s="37">
        <f t="shared" si="9"/>
        <v>1.1065439646963141E-5</v>
      </c>
      <c r="AH30" s="37">
        <f t="shared" si="10"/>
        <v>4.6149278546884713E-2</v>
      </c>
      <c r="AI30" s="40">
        <f t="shared" si="21"/>
        <v>4.6160343986531675E-2</v>
      </c>
      <c r="AJ30" s="39">
        <f t="shared" si="22"/>
        <v>3.4223361918311927E-2</v>
      </c>
      <c r="AK30" s="37">
        <f t="shared" si="11"/>
        <v>8.161278257876832E-2</v>
      </c>
      <c r="AL30" s="37">
        <f t="shared" si="12"/>
        <v>3.4500000000000003E-2</v>
      </c>
      <c r="AM30" s="37">
        <f t="shared" si="13"/>
        <v>0.2423025</v>
      </c>
      <c r="AN30" s="40">
        <f t="shared" si="23"/>
        <v>0.27680250000000001</v>
      </c>
      <c r="AO30" s="39">
        <f t="shared" si="14"/>
        <v>1.4433182148212791E-4</v>
      </c>
      <c r="AP30" s="37">
        <f t="shared" si="15"/>
        <v>0.11834775000000002</v>
      </c>
      <c r="AQ30" s="40">
        <f t="shared" si="16"/>
        <v>2.0250000000000001E-2</v>
      </c>
      <c r="AR30" s="39">
        <f t="shared" si="24"/>
        <v>0.46379014643481931</v>
      </c>
      <c r="AS30" s="37">
        <f t="shared" si="25"/>
        <v>4.1400000000000006</v>
      </c>
      <c r="AT30" s="40">
        <f t="shared" si="26"/>
        <v>89.925906010421016</v>
      </c>
    </row>
    <row r="31" spans="17:46" x14ac:dyDescent="0.3">
      <c r="Q31">
        <v>24</v>
      </c>
      <c r="R31" s="39">
        <f t="shared" si="0"/>
        <v>54</v>
      </c>
      <c r="S31" s="37">
        <f t="shared" si="1"/>
        <v>0.08</v>
      </c>
      <c r="T31" s="37">
        <f t="shared" si="2"/>
        <v>45</v>
      </c>
      <c r="U31" s="40">
        <f t="shared" si="3"/>
        <v>9.8969072164948463E-2</v>
      </c>
      <c r="V31" s="39">
        <f t="shared" si="4"/>
        <v>1</v>
      </c>
      <c r="W31" s="37">
        <f t="shared" si="5"/>
        <v>0.13311982905971931</v>
      </c>
      <c r="X31" s="40">
        <f t="shared" si="6"/>
        <v>0.36859401557424504</v>
      </c>
      <c r="Y31" s="39">
        <f t="shared" si="7"/>
        <v>0.24038492406450118</v>
      </c>
      <c r="Z31" s="37">
        <f t="shared" si="28"/>
        <v>0.24038492406450118</v>
      </c>
      <c r="AA31" s="37">
        <f t="shared" si="29"/>
        <v>9.8304781537859987E-2</v>
      </c>
      <c r="AB31" s="37">
        <v>0</v>
      </c>
      <c r="AC31" s="37">
        <f t="shared" si="8"/>
        <v>2.2226809168374669E-3</v>
      </c>
      <c r="AD31" s="40">
        <f t="shared" si="19"/>
        <v>2.2226809168374669E-3</v>
      </c>
      <c r="AE31" s="39">
        <f t="shared" si="27"/>
        <v>1.3174745968796964E-2</v>
      </c>
      <c r="AF31" s="37">
        <f t="shared" si="20"/>
        <v>5.0637000865849199E-2</v>
      </c>
      <c r="AG31" s="37">
        <f t="shared" si="9"/>
        <v>1.1794886940764859E-5</v>
      </c>
      <c r="AH31" s="37">
        <f t="shared" si="10"/>
        <v>4.8155768918488398E-2</v>
      </c>
      <c r="AI31" s="40">
        <f t="shared" si="21"/>
        <v>4.8167563805429164E-2</v>
      </c>
      <c r="AJ31" s="39">
        <f t="shared" si="22"/>
        <v>3.6479407726935593E-2</v>
      </c>
      <c r="AK31" s="37">
        <f t="shared" si="11"/>
        <v>8.4259861241983813E-2</v>
      </c>
      <c r="AL31" s="37">
        <f t="shared" si="12"/>
        <v>3.6000000000000004E-2</v>
      </c>
      <c r="AM31" s="37">
        <f t="shared" si="13"/>
        <v>0.2423025</v>
      </c>
      <c r="AN31" s="40">
        <f t="shared" si="23"/>
        <v>0.27830250000000001</v>
      </c>
      <c r="AO31" s="39">
        <f t="shared" si="14"/>
        <v>1.5384635140128076E-4</v>
      </c>
      <c r="AP31" s="37">
        <f t="shared" si="15"/>
        <v>0.11834775000000002</v>
      </c>
      <c r="AQ31" s="40">
        <f t="shared" si="16"/>
        <v>2.0250000000000001E-2</v>
      </c>
      <c r="AR31" s="39">
        <f t="shared" si="24"/>
        <v>0.46744434107366795</v>
      </c>
      <c r="AS31" s="37">
        <f t="shared" si="25"/>
        <v>4.32</v>
      </c>
      <c r="AT31" s="40">
        <f t="shared" si="26"/>
        <v>90.236036018983043</v>
      </c>
    </row>
    <row r="32" spans="17:46" x14ac:dyDescent="0.3">
      <c r="Q32">
        <v>25</v>
      </c>
      <c r="R32" s="39">
        <f t="shared" si="0"/>
        <v>54</v>
      </c>
      <c r="S32" s="37">
        <f t="shared" si="1"/>
        <v>8.3333333333333343E-2</v>
      </c>
      <c r="T32" s="37">
        <f t="shared" si="2"/>
        <v>45</v>
      </c>
      <c r="U32" s="40">
        <f t="shared" si="3"/>
        <v>0.10309278350515466</v>
      </c>
      <c r="V32" s="39">
        <f t="shared" si="4"/>
        <v>1</v>
      </c>
      <c r="W32" s="37">
        <f t="shared" si="5"/>
        <v>0.13586485660118022</v>
      </c>
      <c r="X32" s="40">
        <f t="shared" si="6"/>
        <v>0.37619469183349014</v>
      </c>
      <c r="Y32" s="39">
        <f t="shared" si="7"/>
        <v>0.24534183575654539</v>
      </c>
      <c r="Z32" s="37">
        <f t="shared" si="28"/>
        <v>0.24534183575654539</v>
      </c>
      <c r="AA32" s="37">
        <f t="shared" si="29"/>
        <v>0.10136107727451112</v>
      </c>
      <c r="AB32" s="37">
        <v>0</v>
      </c>
      <c r="AC32" s="37">
        <f t="shared" si="8"/>
        <v>2.3630356368373653E-3</v>
      </c>
      <c r="AD32" s="40">
        <f t="shared" si="19"/>
        <v>2.3630356368373653E-3</v>
      </c>
      <c r="AE32" s="39">
        <f t="shared" si="27"/>
        <v>1.4006686247544356E-2</v>
      </c>
      <c r="AF32" s="37">
        <f t="shared" si="20"/>
        <v>5.2211305263275595E-2</v>
      </c>
      <c r="AG32" s="37">
        <f t="shared" si="9"/>
        <v>1.253969382755677E-5</v>
      </c>
      <c r="AH32" s="37">
        <f t="shared" si="10"/>
        <v>5.016225929009209E-2</v>
      </c>
      <c r="AI32" s="40">
        <f t="shared" si="21"/>
        <v>5.0174798983919647E-2</v>
      </c>
      <c r="AJ32" s="39">
        <f t="shared" si="22"/>
        <v>3.878295792097837E-2</v>
      </c>
      <c r="AK32" s="37">
        <f t="shared" si="11"/>
        <v>8.6879500395400877E-2</v>
      </c>
      <c r="AL32" s="37">
        <f t="shared" si="12"/>
        <v>3.7500000000000006E-2</v>
      </c>
      <c r="AM32" s="37">
        <f t="shared" si="13"/>
        <v>0.2423025</v>
      </c>
      <c r="AN32" s="40">
        <f t="shared" si="23"/>
        <v>0.27980250000000001</v>
      </c>
      <c r="AO32" s="39">
        <f t="shared" si="14"/>
        <v>1.63561223837697E-4</v>
      </c>
      <c r="AP32" s="37">
        <f t="shared" si="15"/>
        <v>0.11834775000000002</v>
      </c>
      <c r="AQ32" s="40">
        <f t="shared" si="16"/>
        <v>2.0250000000000001E-2</v>
      </c>
      <c r="AR32" s="39">
        <f t="shared" si="24"/>
        <v>0.47110164584459474</v>
      </c>
      <c r="AS32" s="37">
        <f t="shared" si="25"/>
        <v>4.5000000000000009</v>
      </c>
      <c r="AT32" s="40">
        <f t="shared" si="26"/>
        <v>90.52319426543221</v>
      </c>
    </row>
    <row r="33" spans="17:46" x14ac:dyDescent="0.3">
      <c r="Q33">
        <v>26</v>
      </c>
      <c r="R33" s="39">
        <f t="shared" si="0"/>
        <v>54</v>
      </c>
      <c r="S33" s="37">
        <f t="shared" si="1"/>
        <v>8.666666666666667E-2</v>
      </c>
      <c r="T33" s="37">
        <f t="shared" si="2"/>
        <v>45</v>
      </c>
      <c r="U33" s="40">
        <f t="shared" si="3"/>
        <v>0.10721649484536082</v>
      </c>
      <c r="V33" s="39">
        <f t="shared" si="4"/>
        <v>1</v>
      </c>
      <c r="W33" s="37">
        <f t="shared" si="5"/>
        <v>0.13855551100418065</v>
      </c>
      <c r="X33" s="40">
        <f t="shared" si="6"/>
        <v>0.38364481491379798</v>
      </c>
      <c r="Y33" s="39">
        <f t="shared" si="7"/>
        <v>0.25020056160466009</v>
      </c>
      <c r="Z33" s="37">
        <f t="shared" si="28"/>
        <v>0.25020056160466009</v>
      </c>
      <c r="AA33" s="37">
        <f t="shared" si="29"/>
        <v>0.10438695327645042</v>
      </c>
      <c r="AB33" s="37">
        <v>0</v>
      </c>
      <c r="AC33" s="37">
        <f t="shared" si="8"/>
        <v>2.5062262832981639E-3</v>
      </c>
      <c r="AD33" s="40">
        <f t="shared" si="19"/>
        <v>2.5062262832981639E-3</v>
      </c>
      <c r="AE33" s="39">
        <f t="shared" si="27"/>
        <v>1.4855436231376069E-2</v>
      </c>
      <c r="AF33" s="37">
        <f t="shared" si="20"/>
        <v>5.3769940391020052E-2</v>
      </c>
      <c r="AG33" s="37">
        <f t="shared" si="9"/>
        <v>1.3299549852407708E-5</v>
      </c>
      <c r="AH33" s="37">
        <f t="shared" si="10"/>
        <v>5.2168749661695754E-2</v>
      </c>
      <c r="AI33" s="40">
        <f t="shared" si="21"/>
        <v>5.2182049211548162E-2</v>
      </c>
      <c r="AJ33" s="39">
        <f t="shared" si="22"/>
        <v>4.1133052320654624E-2</v>
      </c>
      <c r="AK33" s="37">
        <f t="shared" si="11"/>
        <v>8.9473065917548569E-2</v>
      </c>
      <c r="AL33" s="37">
        <f t="shared" si="12"/>
        <v>3.9E-2</v>
      </c>
      <c r="AM33" s="37">
        <f t="shared" si="13"/>
        <v>0.2423025</v>
      </c>
      <c r="AN33" s="40">
        <f t="shared" si="23"/>
        <v>0.28130250000000001</v>
      </c>
      <c r="AO33" s="39">
        <f t="shared" si="14"/>
        <v>1.7347238937923096E-4</v>
      </c>
      <c r="AP33" s="37">
        <f t="shared" si="15"/>
        <v>0.11834775000000002</v>
      </c>
      <c r="AQ33" s="40">
        <f t="shared" si="16"/>
        <v>2.0250000000000001E-2</v>
      </c>
      <c r="AR33" s="39">
        <f t="shared" si="24"/>
        <v>0.47476199788422557</v>
      </c>
      <c r="AS33" s="37">
        <f t="shared" si="25"/>
        <v>4.68</v>
      </c>
      <c r="AT33" s="40">
        <f t="shared" si="26"/>
        <v>90.78983669703679</v>
      </c>
    </row>
    <row r="34" spans="17:46" x14ac:dyDescent="0.3">
      <c r="Q34">
        <v>27</v>
      </c>
      <c r="R34" s="39">
        <f t="shared" si="0"/>
        <v>54</v>
      </c>
      <c r="S34" s="37">
        <f t="shared" si="1"/>
        <v>9.0000000000000011E-2</v>
      </c>
      <c r="T34" s="37">
        <f t="shared" si="2"/>
        <v>45</v>
      </c>
      <c r="U34" s="40">
        <f t="shared" si="3"/>
        <v>0.11134020618556702</v>
      </c>
      <c r="V34" s="39">
        <f t="shared" si="4"/>
        <v>1</v>
      </c>
      <c r="W34" s="37">
        <f t="shared" si="5"/>
        <v>0.14119490075778232</v>
      </c>
      <c r="X34" s="40">
        <f t="shared" si="6"/>
        <v>0.39095299187599286</v>
      </c>
      <c r="Y34" s="39">
        <f t="shared" si="7"/>
        <v>0.2549667148515331</v>
      </c>
      <c r="Z34" s="37">
        <f t="shared" si="28"/>
        <v>0.2549667148515331</v>
      </c>
      <c r="AA34" s="37">
        <f t="shared" si="29"/>
        <v>0.1073838657512633</v>
      </c>
      <c r="AB34" s="37">
        <v>0</v>
      </c>
      <c r="AC34" s="37">
        <f t="shared" si="8"/>
        <v>2.6521977634476278E-3</v>
      </c>
      <c r="AD34" s="40">
        <f t="shared" si="19"/>
        <v>2.6521977634476278E-3</v>
      </c>
      <c r="AE34" s="39">
        <f t="shared" si="27"/>
        <v>1.5720669362722157E-2</v>
      </c>
      <c r="AF34" s="37">
        <f t="shared" si="20"/>
        <v>5.5313656344689391E-2</v>
      </c>
      <c r="AG34" s="37">
        <f t="shared" si="9"/>
        <v>1.4074162659804625E-5</v>
      </c>
      <c r="AH34" s="37">
        <f t="shared" si="10"/>
        <v>5.4175240033299439E-2</v>
      </c>
      <c r="AI34" s="40">
        <f t="shared" si="21"/>
        <v>5.4189314195959244E-2</v>
      </c>
      <c r="AJ34" s="39">
        <f t="shared" si="22"/>
        <v>4.3528786724337354E-2</v>
      </c>
      <c r="AK34" s="37">
        <f t="shared" si="11"/>
        <v>9.2041805965913895E-2</v>
      </c>
      <c r="AL34" s="37">
        <f t="shared" si="12"/>
        <v>4.0500000000000008E-2</v>
      </c>
      <c r="AM34" s="37">
        <f t="shared" si="13"/>
        <v>0.2423025</v>
      </c>
      <c r="AN34" s="40">
        <f t="shared" si="23"/>
        <v>0.28280250000000001</v>
      </c>
      <c r="AO34" s="39">
        <f t="shared" si="14"/>
        <v>1.835760346931038E-4</v>
      </c>
      <c r="AP34" s="37">
        <f t="shared" si="15"/>
        <v>0.11834775000000002</v>
      </c>
      <c r="AQ34" s="40">
        <f t="shared" si="16"/>
        <v>2.0250000000000001E-2</v>
      </c>
      <c r="AR34" s="39">
        <f t="shared" si="24"/>
        <v>0.47842533799409998</v>
      </c>
      <c r="AS34" s="37">
        <f t="shared" si="25"/>
        <v>4.8600000000000003</v>
      </c>
      <c r="AT34" s="40">
        <f t="shared" si="26"/>
        <v>91.038081312309458</v>
      </c>
    </row>
    <row r="35" spans="17:46" x14ac:dyDescent="0.3">
      <c r="Q35">
        <v>28</v>
      </c>
      <c r="R35" s="39">
        <f t="shared" si="0"/>
        <v>54</v>
      </c>
      <c r="S35" s="37">
        <f t="shared" si="1"/>
        <v>9.3333333333333338E-2</v>
      </c>
      <c r="T35" s="37">
        <f t="shared" si="2"/>
        <v>45</v>
      </c>
      <c r="U35" s="40">
        <f t="shared" si="3"/>
        <v>0.1154639175257732</v>
      </c>
      <c r="V35" s="39">
        <f t="shared" si="4"/>
        <v>1</v>
      </c>
      <c r="W35" s="37">
        <f t="shared" si="5"/>
        <v>0.14378584899207006</v>
      </c>
      <c r="X35" s="40">
        <f t="shared" si="6"/>
        <v>0.39812703965359847</v>
      </c>
      <c r="Y35" s="39">
        <f t="shared" si="7"/>
        <v>0.25964539344474935</v>
      </c>
      <c r="Z35" s="37">
        <f t="shared" si="28"/>
        <v>0.25964539344474935</v>
      </c>
      <c r="AA35" s="37">
        <f t="shared" si="29"/>
        <v>0.1103531500337647</v>
      </c>
      <c r="AB35" s="37">
        <v>0</v>
      </c>
      <c r="AC35" s="37">
        <f t="shared" si="8"/>
        <v>2.8008980761461536E-3</v>
      </c>
      <c r="AD35" s="40">
        <f t="shared" si="19"/>
        <v>2.8008980761461536E-3</v>
      </c>
      <c r="AE35" s="39">
        <f t="shared" si="27"/>
        <v>1.6602077409393658E-2</v>
      </c>
      <c r="AF35" s="37">
        <f t="shared" si="20"/>
        <v>5.6843140958070783E-2</v>
      </c>
      <c r="AG35" s="37">
        <f t="shared" si="9"/>
        <v>1.4863256300303878E-5</v>
      </c>
      <c r="AH35" s="37">
        <f t="shared" si="10"/>
        <v>5.6181730404903124E-2</v>
      </c>
      <c r="AI35" s="40">
        <f t="shared" si="21"/>
        <v>5.6196593661203428E-2</v>
      </c>
      <c r="AJ35" s="39">
        <f t="shared" si="22"/>
        <v>4.5969307671343329E-2</v>
      </c>
      <c r="AK35" s="37">
        <f t="shared" si="11"/>
        <v>9.4586865094448899E-2</v>
      </c>
      <c r="AL35" s="37">
        <f t="shared" si="12"/>
        <v>4.2000000000000003E-2</v>
      </c>
      <c r="AM35" s="37">
        <f t="shared" si="13"/>
        <v>0.2423025</v>
      </c>
      <c r="AN35" s="40">
        <f t="shared" si="23"/>
        <v>0.28430250000000001</v>
      </c>
      <c r="AO35" s="39">
        <f t="shared" si="14"/>
        <v>1.9386856043874623E-4</v>
      </c>
      <c r="AP35" s="37">
        <f t="shared" si="15"/>
        <v>0.11834775000000002</v>
      </c>
      <c r="AQ35" s="40">
        <f t="shared" si="16"/>
        <v>2.0250000000000001E-2</v>
      </c>
      <c r="AR35" s="39">
        <f t="shared" si="24"/>
        <v>0.48209161029778835</v>
      </c>
      <c r="AS35" s="37">
        <f t="shared" si="25"/>
        <v>5.04</v>
      </c>
      <c r="AT35" s="40">
        <f t="shared" si="26"/>
        <v>91.269764351631409</v>
      </c>
    </row>
    <row r="36" spans="17:46" x14ac:dyDescent="0.3">
      <c r="Q36">
        <v>29</v>
      </c>
      <c r="R36" s="39">
        <f t="shared" si="0"/>
        <v>54</v>
      </c>
      <c r="S36" s="37">
        <f t="shared" si="1"/>
        <v>9.6666666666666679E-2</v>
      </c>
      <c r="T36" s="37">
        <f t="shared" si="2"/>
        <v>45</v>
      </c>
      <c r="U36" s="40">
        <f t="shared" si="3"/>
        <v>0.1195876288659794</v>
      </c>
      <c r="V36" s="39">
        <f t="shared" si="4"/>
        <v>1</v>
      </c>
      <c r="W36" s="37">
        <f t="shared" si="5"/>
        <v>0.14633092885901033</v>
      </c>
      <c r="X36" s="40">
        <f t="shared" si="6"/>
        <v>0.40517408301850416</v>
      </c>
      <c r="Y36" s="39">
        <f t="shared" si="7"/>
        <v>0.26424124392678433</v>
      </c>
      <c r="Z36" s="37">
        <f t="shared" si="28"/>
        <v>0.26424124392678433</v>
      </c>
      <c r="AA36" s="37">
        <f t="shared" si="29"/>
        <v>0.11329603456517158</v>
      </c>
      <c r="AB36" s="37">
        <v>0</v>
      </c>
      <c r="AC36" s="37">
        <f t="shared" si="8"/>
        <v>2.9522780330842875E-3</v>
      </c>
      <c r="AD36" s="40">
        <f t="shared" si="19"/>
        <v>2.9522780330842875E-3</v>
      </c>
      <c r="AE36" s="39">
        <f t="shared" si="27"/>
        <v>1.7499368812005364E-2</v>
      </c>
      <c r="AF36" s="37">
        <f t="shared" si="20"/>
        <v>5.8359027003833011E-2</v>
      </c>
      <c r="AG36" s="37">
        <f t="shared" si="9"/>
        <v>1.566656975103691E-5</v>
      </c>
      <c r="AH36" s="37">
        <f t="shared" si="10"/>
        <v>5.8188220776506823E-2</v>
      </c>
      <c r="AI36" s="40">
        <f t="shared" si="21"/>
        <v>5.8203887346257858E-2</v>
      </c>
      <c r="AJ36" s="39">
        <f t="shared" si="22"/>
        <v>4.8453807866130405E-2</v>
      </c>
      <c r="AK36" s="37">
        <f t="shared" si="11"/>
        <v>9.7109296235522405E-2</v>
      </c>
      <c r="AL36" s="37">
        <f t="shared" si="12"/>
        <v>4.3500000000000004E-2</v>
      </c>
      <c r="AM36" s="37">
        <f t="shared" si="13"/>
        <v>0.2423025</v>
      </c>
      <c r="AN36" s="40">
        <f t="shared" si="23"/>
        <v>0.28580250000000001</v>
      </c>
      <c r="AO36" s="39">
        <f t="shared" si="14"/>
        <v>2.0434656197004661E-4</v>
      </c>
      <c r="AP36" s="37">
        <f t="shared" si="15"/>
        <v>0.11834775000000002</v>
      </c>
      <c r="AQ36" s="40">
        <f t="shared" si="16"/>
        <v>2.0250000000000001E-2</v>
      </c>
      <c r="AR36" s="39">
        <f t="shared" si="24"/>
        <v>0.48576076194131224</v>
      </c>
      <c r="AS36" s="37">
        <f t="shared" si="25"/>
        <v>5.2200000000000006</v>
      </c>
      <c r="AT36" s="40">
        <f t="shared" si="26"/>
        <v>91.48648563778832</v>
      </c>
    </row>
    <row r="37" spans="17:46" x14ac:dyDescent="0.3">
      <c r="Q37">
        <v>30</v>
      </c>
      <c r="R37" s="39">
        <f t="shared" si="0"/>
        <v>54</v>
      </c>
      <c r="S37" s="37">
        <f t="shared" si="1"/>
        <v>0.1</v>
      </c>
      <c r="T37" s="37">
        <f t="shared" si="2"/>
        <v>45</v>
      </c>
      <c r="U37" s="40">
        <f t="shared" si="3"/>
        <v>0.12371134020618559</v>
      </c>
      <c r="V37" s="39">
        <f t="shared" si="4"/>
        <v>1</v>
      </c>
      <c r="W37" s="37">
        <f t="shared" si="5"/>
        <v>0.14883249346534216</v>
      </c>
      <c r="X37" s="40">
        <f t="shared" si="6"/>
        <v>0.41210063746181402</v>
      </c>
      <c r="Y37" s="39">
        <f t="shared" si="7"/>
        <v>0.26875851548717483</v>
      </c>
      <c r="Z37" s="37">
        <f t="shared" si="28"/>
        <v>0.26875851548717483</v>
      </c>
      <c r="AA37" s="37">
        <f t="shared" si="29"/>
        <v>0.11621365283040173</v>
      </c>
      <c r="AB37" s="37">
        <v>0</v>
      </c>
      <c r="AC37" s="37">
        <f t="shared" si="8"/>
        <v>3.1062910139625826E-3</v>
      </c>
      <c r="AD37" s="40">
        <f t="shared" si="19"/>
        <v>3.1062910139625826E-3</v>
      </c>
      <c r="AE37" s="39">
        <f t="shared" si="27"/>
        <v>1.8412267232825838E-2</v>
      </c>
      <c r="AF37" s="37">
        <f t="shared" si="20"/>
        <v>5.9861898342454291E-2</v>
      </c>
      <c r="AG37" s="37">
        <f t="shared" si="9"/>
        <v>1.6483855616546724E-5</v>
      </c>
      <c r="AH37" s="37">
        <f t="shared" si="10"/>
        <v>6.0194711148110494E-2</v>
      </c>
      <c r="AI37" s="40">
        <f t="shared" si="21"/>
        <v>6.0211195003727042E-2</v>
      </c>
      <c r="AJ37" s="39">
        <f t="shared" si="22"/>
        <v>5.0981522160224425E-2</v>
      </c>
      <c r="AK37" s="37">
        <f t="shared" si="11"/>
        <v>9.9610070931722625E-2</v>
      </c>
      <c r="AL37" s="37">
        <f t="shared" si="12"/>
        <v>4.5000000000000005E-2</v>
      </c>
      <c r="AM37" s="37">
        <f t="shared" si="13"/>
        <v>0.2423025</v>
      </c>
      <c r="AN37" s="40">
        <f t="shared" si="23"/>
        <v>0.28730250000000002</v>
      </c>
      <c r="AO37" s="39">
        <f t="shared" si="14"/>
        <v>2.1500681238973988E-4</v>
      </c>
      <c r="AP37" s="37">
        <f t="shared" si="15"/>
        <v>0.11834775000000002</v>
      </c>
      <c r="AQ37" s="40">
        <f t="shared" si="16"/>
        <v>2.0250000000000001E-2</v>
      </c>
      <c r="AR37" s="39">
        <f t="shared" si="24"/>
        <v>0.48943274283007943</v>
      </c>
      <c r="AS37" s="37">
        <f t="shared" si="25"/>
        <v>5.4</v>
      </c>
      <c r="AT37" s="40">
        <f t="shared" si="26"/>
        <v>91.689645434427874</v>
      </c>
    </row>
    <row r="38" spans="17:46" x14ac:dyDescent="0.3">
      <c r="Q38">
        <v>31</v>
      </c>
      <c r="R38" s="39">
        <f t="shared" si="0"/>
        <v>54</v>
      </c>
      <c r="S38" s="37">
        <f t="shared" si="1"/>
        <v>0.10333333333333335</v>
      </c>
      <c r="T38" s="37">
        <f t="shared" si="2"/>
        <v>45</v>
      </c>
      <c r="U38" s="40">
        <f t="shared" si="3"/>
        <v>0.12783505154639177</v>
      </c>
      <c r="V38" s="39">
        <f t="shared" si="4"/>
        <v>1</v>
      </c>
      <c r="W38" s="37">
        <f t="shared" si="5"/>
        <v>0.15129270134901249</v>
      </c>
      <c r="X38" s="40">
        <f t="shared" si="6"/>
        <v>0.41891267973526569</v>
      </c>
      <c r="Y38" s="39">
        <f t="shared" si="7"/>
        <v>0.27320110596731789</v>
      </c>
      <c r="Z38" s="37">
        <f t="shared" si="28"/>
        <v>0.27320110596731789</v>
      </c>
      <c r="AA38" s="37">
        <f t="shared" si="29"/>
        <v>0.11910705360973715</v>
      </c>
      <c r="AB38" s="37">
        <v>0</v>
      </c>
      <c r="AC38" s="37">
        <f t="shared" si="8"/>
        <v>3.262892750506344E-3</v>
      </c>
      <c r="AD38" s="40">
        <f t="shared" si="19"/>
        <v>3.262892750506344E-3</v>
      </c>
      <c r="AE38" s="39">
        <f t="shared" si="27"/>
        <v>1.9340510275543867E-2</v>
      </c>
      <c r="AF38" s="37">
        <f t="shared" si="20"/>
        <v>6.1352295202875863E-2</v>
      </c>
      <c r="AG38" s="37">
        <f t="shared" si="9"/>
        <v>1.7314878982639794E-5</v>
      </c>
      <c r="AH38" s="37">
        <f t="shared" si="10"/>
        <v>6.2201201519714179E-2</v>
      </c>
      <c r="AI38" s="40">
        <f t="shared" si="21"/>
        <v>6.221851639869682E-2</v>
      </c>
      <c r="AJ38" s="39">
        <f t="shared" si="22"/>
        <v>5.3551724007394795E-2</v>
      </c>
      <c r="AK38" s="37">
        <f t="shared" si="11"/>
        <v>0.1020900881228534</v>
      </c>
      <c r="AL38" s="37">
        <f t="shared" si="12"/>
        <v>4.6500000000000007E-2</v>
      </c>
      <c r="AM38" s="37">
        <f t="shared" si="13"/>
        <v>0.2423025</v>
      </c>
      <c r="AN38" s="40">
        <f t="shared" si="23"/>
        <v>0.28880250000000002</v>
      </c>
      <c r="AO38" s="39">
        <f t="shared" si="14"/>
        <v>2.2584624759964948E-4</v>
      </c>
      <c r="AP38" s="37">
        <f t="shared" si="15"/>
        <v>0.11834775000000002</v>
      </c>
      <c r="AQ38" s="40">
        <f t="shared" si="16"/>
        <v>2.0250000000000001E-2</v>
      </c>
      <c r="AR38" s="39">
        <f t="shared" si="24"/>
        <v>0.49310750539680281</v>
      </c>
      <c r="AS38" s="37">
        <f t="shared" si="25"/>
        <v>5.580000000000001</v>
      </c>
      <c r="AT38" s="40">
        <f t="shared" si="26"/>
        <v>91.880474617671297</v>
      </c>
    </row>
    <row r="39" spans="17:46" x14ac:dyDescent="0.3">
      <c r="Q39">
        <v>32</v>
      </c>
      <c r="R39" s="39">
        <f t="shared" si="0"/>
        <v>54</v>
      </c>
      <c r="S39" s="37">
        <f t="shared" ref="S39:S70" si="30">Q39*$O$12</f>
        <v>0.10666666666666667</v>
      </c>
      <c r="T39" s="37">
        <f t="shared" si="2"/>
        <v>45</v>
      </c>
      <c r="U39" s="40">
        <f t="shared" ref="U39:U70" si="31">(R39*S39)/(T39*EFF_est)</f>
        <v>0.13195876288659797</v>
      </c>
      <c r="V39" s="39">
        <f t="shared" ref="V39:V70" si="32">IF((S39*R39/T39)&lt;((T39*(1-(T39/R39)))/(2*Lm*Fsw)),1,2)</f>
        <v>1</v>
      </c>
      <c r="W39" s="37">
        <f t="shared" ref="W39:W70" si="33">CHOOSE(V39,SQRT((2*S39*Lm*Fsw*(R39-T39))/((T39)^2)),1-(T39/R39))</f>
        <v>0.1537135382842118</v>
      </c>
      <c r="X39" s="40">
        <f t="shared" ref="X39:X70" si="34">CHOOSE(V39,(Lm*W39*Fsw)/(R39-T39),1-W39)</f>
        <v>0.42561570822695088</v>
      </c>
      <c r="Y39" s="39">
        <f t="shared" ref="Y39:Y70" si="35">(T39*W39)/(Lm*Fsw)</f>
        <v>0.27757260123553495</v>
      </c>
      <c r="Z39" s="37">
        <f t="shared" si="28"/>
        <v>0.27757260123553495</v>
      </c>
      <c r="AA39" s="37">
        <f t="shared" si="29"/>
        <v>0.12197720982947047</v>
      </c>
      <c r="AB39" s="37">
        <v>0</v>
      </c>
      <c r="AC39" s="37">
        <f t="shared" ref="AC39:AC70" si="36">(AA39^2)*Rdcr</f>
        <v>3.4220411350900136E-3</v>
      </c>
      <c r="AD39" s="40">
        <f t="shared" si="19"/>
        <v>3.4220411350900136E-3</v>
      </c>
      <c r="AE39" s="39">
        <f t="shared" si="27"/>
        <v>2.0283848350906304E-2</v>
      </c>
      <c r="AF39" s="37">
        <f t="shared" si="20"/>
        <v>6.2830718741488642E-2</v>
      </c>
      <c r="AG39" s="37">
        <f t="shared" ref="AG39:AG70" si="37">(AF39^2)*RDS_on</f>
        <v>1.8159416400831439E-5</v>
      </c>
      <c r="AH39" s="37">
        <f t="shared" ref="AH39:AH70" si="38">((R39*U39)/2)*Fsw*(tr_sw+tf_sw)</f>
        <v>6.4207691891317864E-2</v>
      </c>
      <c r="AI39" s="40">
        <f t="shared" si="21"/>
        <v>6.4225851307718698E-2</v>
      </c>
      <c r="AJ39" s="39">
        <f t="shared" si="22"/>
        <v>5.6163722322731674E-2</v>
      </c>
      <c r="AK39" s="37">
        <f t="shared" ref="AK39:AK70" si="39">CHOOSE(V39,Z39*SQRT(X39/3),SQRT(X39*((Z39^2)+((Y39^2)/3)-(Y39*Z39))))</f>
        <v>0.10455018173207836</v>
      </c>
      <c r="AL39" s="37">
        <f t="shared" ref="AL39:AL70" si="40">S39*Vd_rect</f>
        <v>4.8000000000000001E-2</v>
      </c>
      <c r="AM39" s="37">
        <f t="shared" ref="AM39:AM70" si="41">CHOOSE(V39,(R39+Vd_rect)*Qrr*Fsw,(R39+Vd_rect)*Qrr*Fsw)</f>
        <v>0.2423025</v>
      </c>
      <c r="AN39" s="40">
        <f t="shared" si="23"/>
        <v>0.29030250000000002</v>
      </c>
      <c r="AO39" s="39">
        <f t="shared" ref="AO39:AO70" si="42">(AF39^2)*R_cs</f>
        <v>2.3686195305432312E-4</v>
      </c>
      <c r="AP39" s="37">
        <f t="shared" ref="AP39:AP70" si="43">Qg_tot*Vcc*Fsw</f>
        <v>0.11834775000000002</v>
      </c>
      <c r="AQ39" s="40">
        <f t="shared" ref="AQ39:AQ70" si="44">IQ*T39</f>
        <v>2.0250000000000001E-2</v>
      </c>
      <c r="AR39" s="39">
        <f t="shared" si="24"/>
        <v>0.49678500439586309</v>
      </c>
      <c r="AS39" s="37">
        <f t="shared" si="25"/>
        <v>5.7600000000000007</v>
      </c>
      <c r="AT39" s="40">
        <f t="shared" si="26"/>
        <v>92.060059534619867</v>
      </c>
    </row>
    <row r="40" spans="17:46" x14ac:dyDescent="0.3">
      <c r="Q40">
        <v>33</v>
      </c>
      <c r="R40" s="39">
        <f t="shared" si="0"/>
        <v>54</v>
      </c>
      <c r="S40" s="37">
        <f t="shared" si="30"/>
        <v>0.11</v>
      </c>
      <c r="T40" s="37">
        <f t="shared" si="2"/>
        <v>45</v>
      </c>
      <c r="U40" s="40">
        <f t="shared" si="31"/>
        <v>0.13608247422680414</v>
      </c>
      <c r="V40" s="39">
        <f t="shared" si="32"/>
        <v>1</v>
      </c>
      <c r="W40" s="37">
        <f t="shared" si="33"/>
        <v>0.1560968360416771</v>
      </c>
      <c r="X40" s="40">
        <f t="shared" si="34"/>
        <v>0.43221479490651032</v>
      </c>
      <c r="Y40" s="39">
        <f t="shared" si="35"/>
        <v>0.28187630906402367</v>
      </c>
      <c r="Z40" s="37">
        <f t="shared" si="28"/>
        <v>0.28187630906402367</v>
      </c>
      <c r="AA40" s="37">
        <f t="shared" si="29"/>
        <v>0.12482502624071559</v>
      </c>
      <c r="AB40" s="37">
        <v>0</v>
      </c>
      <c r="AC40" s="37">
        <f t="shared" si="36"/>
        <v>3.5836960504789274E-3</v>
      </c>
      <c r="AD40" s="40">
        <f t="shared" si="19"/>
        <v>3.5836960504789274E-3</v>
      </c>
      <c r="AE40" s="39">
        <f t="shared" si="27"/>
        <v>2.1242043667527195E-2</v>
      </c>
      <c r="AF40" s="37">
        <f t="shared" si="20"/>
        <v>6.4297634997504752E-2</v>
      </c>
      <c r="AG40" s="37">
        <f t="shared" si="37"/>
        <v>1.90172549848528E-5</v>
      </c>
      <c r="AH40" s="37">
        <f t="shared" si="38"/>
        <v>6.6214182262921542E-2</v>
      </c>
      <c r="AI40" s="40">
        <f t="shared" si="21"/>
        <v>6.6233199517906391E-2</v>
      </c>
      <c r="AJ40" s="39">
        <f t="shared" si="22"/>
        <v>5.8816858688308625E-2</v>
      </c>
      <c r="AK40" s="37">
        <f t="shared" si="39"/>
        <v>0.10699112724765072</v>
      </c>
      <c r="AL40" s="37">
        <f t="shared" si="40"/>
        <v>4.9500000000000002E-2</v>
      </c>
      <c r="AM40" s="37">
        <f t="shared" si="41"/>
        <v>0.2423025</v>
      </c>
      <c r="AN40" s="40">
        <f t="shared" si="23"/>
        <v>0.29180250000000002</v>
      </c>
      <c r="AO40" s="39">
        <f t="shared" si="42"/>
        <v>2.4805115197634086E-4</v>
      </c>
      <c r="AP40" s="37">
        <f t="shared" si="43"/>
        <v>0.11834775000000002</v>
      </c>
      <c r="AQ40" s="40">
        <f t="shared" si="44"/>
        <v>2.0250000000000001E-2</v>
      </c>
      <c r="AR40" s="39">
        <f t="shared" si="24"/>
        <v>0.50046519672036172</v>
      </c>
      <c r="AS40" s="37">
        <f t="shared" si="25"/>
        <v>5.94</v>
      </c>
      <c r="AT40" s="40">
        <f t="shared" si="26"/>
        <v>92.229362609160432</v>
      </c>
    </row>
    <row r="41" spans="17:46" x14ac:dyDescent="0.3">
      <c r="Q41">
        <v>34</v>
      </c>
      <c r="R41" s="39">
        <f t="shared" si="0"/>
        <v>54</v>
      </c>
      <c r="S41" s="37">
        <f t="shared" si="30"/>
        <v>0.11333333333333334</v>
      </c>
      <c r="T41" s="37">
        <f t="shared" si="2"/>
        <v>45</v>
      </c>
      <c r="U41" s="40">
        <f t="shared" si="31"/>
        <v>0.14020618556701031</v>
      </c>
      <c r="V41" s="39">
        <f t="shared" si="32"/>
        <v>1</v>
      </c>
      <c r="W41" s="37">
        <f t="shared" si="33"/>
        <v>0.15844428860830737</v>
      </c>
      <c r="X41" s="40">
        <f t="shared" si="34"/>
        <v>0.4387146302354466</v>
      </c>
      <c r="Y41" s="39">
        <f t="shared" si="35"/>
        <v>0.28611528841789052</v>
      </c>
      <c r="Z41" s="37">
        <f t="shared" si="28"/>
        <v>0.28611528841789052</v>
      </c>
      <c r="AA41" s="37">
        <f t="shared" si="29"/>
        <v>0.12765134611227488</v>
      </c>
      <c r="AB41" s="37">
        <v>0</v>
      </c>
      <c r="AC41" s="37">
        <f t="shared" si="36"/>
        <v>3.7478192177834331E-3</v>
      </c>
      <c r="AD41" s="40">
        <f t="shared" si="19"/>
        <v>3.7478192177834331E-3</v>
      </c>
      <c r="AE41" s="39">
        <f t="shared" si="27"/>
        <v>2.221486933064928E-2</v>
      </c>
      <c r="AF41" s="37">
        <f t="shared" si="20"/>
        <v>6.575347834046763E-2</v>
      </c>
      <c r="AG41" s="37">
        <f t="shared" si="37"/>
        <v>1.9888191603803593E-5</v>
      </c>
      <c r="AH41" s="37">
        <f t="shared" si="38"/>
        <v>6.822067263452522E-2</v>
      </c>
      <c r="AI41" s="40">
        <f t="shared" si="21"/>
        <v>6.8240560826129018E-2</v>
      </c>
      <c r="AJ41" s="39">
        <f t="shared" si="22"/>
        <v>6.1510504857753341E-2</v>
      </c>
      <c r="AK41" s="37">
        <f t="shared" si="39"/>
        <v>0.1094136474595626</v>
      </c>
      <c r="AL41" s="37">
        <f t="shared" si="40"/>
        <v>5.1000000000000004E-2</v>
      </c>
      <c r="AM41" s="37">
        <f t="shared" si="41"/>
        <v>0.2423025</v>
      </c>
      <c r="AN41" s="40">
        <f t="shared" si="23"/>
        <v>0.29330250000000002</v>
      </c>
      <c r="AO41" s="39">
        <f t="shared" si="42"/>
        <v>2.5941119483222075E-4</v>
      </c>
      <c r="AP41" s="37">
        <f t="shared" si="43"/>
        <v>0.11834775000000002</v>
      </c>
      <c r="AQ41" s="40">
        <f t="shared" si="44"/>
        <v>2.0250000000000001E-2</v>
      </c>
      <c r="AR41" s="39">
        <f t="shared" si="24"/>
        <v>0.50414804123874468</v>
      </c>
      <c r="AS41" s="37">
        <f t="shared" si="25"/>
        <v>6.12</v>
      </c>
      <c r="AT41" s="40">
        <f t="shared" si="26"/>
        <v>92.389239520310198</v>
      </c>
    </row>
    <row r="42" spans="17:46" x14ac:dyDescent="0.3">
      <c r="Q42">
        <v>35</v>
      </c>
      <c r="R42" s="39">
        <f t="shared" si="0"/>
        <v>54</v>
      </c>
      <c r="S42" s="37">
        <f t="shared" si="30"/>
        <v>0.11666666666666667</v>
      </c>
      <c r="T42" s="37">
        <f t="shared" si="2"/>
        <v>45</v>
      </c>
      <c r="U42" s="40">
        <f t="shared" si="31"/>
        <v>0.14432989690721648</v>
      </c>
      <c r="V42" s="39">
        <f t="shared" si="32"/>
        <v>1</v>
      </c>
      <c r="W42" s="37">
        <f t="shared" si="33"/>
        <v>0.16075746627439413</v>
      </c>
      <c r="X42" s="40">
        <f t="shared" si="34"/>
        <v>0.44511956217310022</v>
      </c>
      <c r="Y42" s="39">
        <f t="shared" si="35"/>
        <v>0.29029237489356891</v>
      </c>
      <c r="Z42" s="37">
        <f t="shared" si="28"/>
        <v>0.29029237489356891</v>
      </c>
      <c r="AA42" s="37">
        <f t="shared" si="29"/>
        <v>0.13045695708937685</v>
      </c>
      <c r="AB42" s="37">
        <v>0</v>
      </c>
      <c r="AC42" s="37">
        <f t="shared" si="36"/>
        <v>3.9143740601944883E-3</v>
      </c>
      <c r="AD42" s="40">
        <f t="shared" si="19"/>
        <v>3.9143740601944883E-3</v>
      </c>
      <c r="AE42" s="39">
        <f t="shared" si="27"/>
        <v>2.3202108534448637E-2</v>
      </c>
      <c r="AF42" s="37">
        <f t="shared" si="20"/>
        <v>6.7198654488100237E-2</v>
      </c>
      <c r="AG42" s="37">
        <f t="shared" si="37"/>
        <v>2.0772032159050942E-5</v>
      </c>
      <c r="AH42" s="37">
        <f t="shared" si="38"/>
        <v>7.0227163006128898E-2</v>
      </c>
      <c r="AI42" s="40">
        <f t="shared" si="21"/>
        <v>7.0247935038287954E-2</v>
      </c>
      <c r="AJ42" s="39">
        <f t="shared" si="22"/>
        <v>6.4244060519828894E-2</v>
      </c>
      <c r="AK42" s="37">
        <f t="shared" si="39"/>
        <v>0.11181841748123804</v>
      </c>
      <c r="AL42" s="37">
        <f t="shared" si="40"/>
        <v>5.2500000000000005E-2</v>
      </c>
      <c r="AM42" s="37">
        <f t="shared" si="41"/>
        <v>0.2423025</v>
      </c>
      <c r="AN42" s="40">
        <f t="shared" si="23"/>
        <v>0.29480250000000002</v>
      </c>
      <c r="AO42" s="39">
        <f t="shared" si="42"/>
        <v>2.7093954990066443E-4</v>
      </c>
      <c r="AP42" s="37">
        <f t="shared" si="43"/>
        <v>0.11834775000000002</v>
      </c>
      <c r="AQ42" s="40">
        <f t="shared" si="44"/>
        <v>2.0250000000000001E-2</v>
      </c>
      <c r="AR42" s="39">
        <f t="shared" si="24"/>
        <v>0.50783349864838323</v>
      </c>
      <c r="AS42" s="37">
        <f t="shared" si="25"/>
        <v>6.3</v>
      </c>
      <c r="AT42" s="40">
        <f t="shared" si="26"/>
        <v>92.540453600264925</v>
      </c>
    </row>
    <row r="43" spans="17:46" x14ac:dyDescent="0.3">
      <c r="Q43">
        <v>36</v>
      </c>
      <c r="R43" s="39">
        <f t="shared" si="0"/>
        <v>54</v>
      </c>
      <c r="S43" s="37">
        <f t="shared" si="30"/>
        <v>0.12000000000000001</v>
      </c>
      <c r="T43" s="37">
        <f t="shared" si="2"/>
        <v>45</v>
      </c>
      <c r="U43" s="40">
        <f t="shared" si="31"/>
        <v>0.14845360824742271</v>
      </c>
      <c r="V43" s="39">
        <f t="shared" si="32"/>
        <v>1</v>
      </c>
      <c r="W43" s="37">
        <f t="shared" si="33"/>
        <v>0.16303782792141625</v>
      </c>
      <c r="X43" s="40">
        <f t="shared" si="34"/>
        <v>0.45143363020018806</v>
      </c>
      <c r="Y43" s="39">
        <f t="shared" si="35"/>
        <v>0.29441020290785441</v>
      </c>
      <c r="Z43" s="37">
        <f t="shared" si="28"/>
        <v>0.29441020290785441</v>
      </c>
      <c r="AA43" s="37">
        <f t="shared" si="29"/>
        <v>0.13324259634305755</v>
      </c>
      <c r="AB43" s="37">
        <v>0</v>
      </c>
      <c r="AC43" s="37">
        <f t="shared" si="36"/>
        <v>4.0833255804549632E-3</v>
      </c>
      <c r="AD43" s="40">
        <f t="shared" si="19"/>
        <v>4.0833255804549632E-3</v>
      </c>
      <c r="AE43" s="39">
        <f t="shared" si="27"/>
        <v>2.4203553835756644E-2</v>
      </c>
      <c r="AF43" s="37">
        <f t="shared" si="20"/>
        <v>6.8633543158762175E-2</v>
      </c>
      <c r="AG43" s="37">
        <f t="shared" si="37"/>
        <v>2.1668590934018085E-5</v>
      </c>
      <c r="AH43" s="37">
        <f t="shared" si="38"/>
        <v>7.2233653377732604E-2</v>
      </c>
      <c r="AI43" s="40">
        <f t="shared" si="21"/>
        <v>7.2255321968666616E-2</v>
      </c>
      <c r="AJ43" s="39">
        <f t="shared" si="22"/>
        <v>6.701695128745061E-2</v>
      </c>
      <c r="AK43" s="37">
        <f t="shared" si="39"/>
        <v>0.11420606916321611</v>
      </c>
      <c r="AL43" s="37">
        <f t="shared" si="40"/>
        <v>5.4000000000000006E-2</v>
      </c>
      <c r="AM43" s="37">
        <f t="shared" si="41"/>
        <v>0.2423025</v>
      </c>
      <c r="AN43" s="40">
        <f t="shared" si="23"/>
        <v>0.29630250000000002</v>
      </c>
      <c r="AO43" s="39">
        <f t="shared" si="42"/>
        <v>2.8263379479154022E-4</v>
      </c>
      <c r="AP43" s="37">
        <f t="shared" si="43"/>
        <v>0.11834775000000002</v>
      </c>
      <c r="AQ43" s="40">
        <f t="shared" si="44"/>
        <v>2.0250000000000001E-2</v>
      </c>
      <c r="AR43" s="39">
        <f t="shared" si="24"/>
        <v>0.5115215313439132</v>
      </c>
      <c r="AS43" s="37">
        <f t="shared" si="25"/>
        <v>6.48</v>
      </c>
      <c r="AT43" s="40">
        <f t="shared" si="26"/>
        <v>92.683687963332531</v>
      </c>
    </row>
    <row r="44" spans="17:46" x14ac:dyDescent="0.3">
      <c r="Q44">
        <v>37</v>
      </c>
      <c r="R44" s="39">
        <f t="shared" si="0"/>
        <v>54</v>
      </c>
      <c r="S44" s="37">
        <f t="shared" si="30"/>
        <v>0.12333333333333334</v>
      </c>
      <c r="T44" s="37">
        <f t="shared" si="2"/>
        <v>45</v>
      </c>
      <c r="U44" s="40">
        <f t="shared" si="31"/>
        <v>0.15257731958762888</v>
      </c>
      <c r="V44" s="39">
        <f t="shared" si="32"/>
        <v>1</v>
      </c>
      <c r="W44" s="37">
        <f t="shared" si="33"/>
        <v>0.16528673178359993</v>
      </c>
      <c r="X44" s="40">
        <f t="shared" si="34"/>
        <v>0.45766059511636775</v>
      </c>
      <c r="Y44" s="39">
        <f t="shared" si="35"/>
        <v>0.29847122513089874</v>
      </c>
      <c r="Z44" s="37">
        <f t="shared" si="28"/>
        <v>0.29847122513089874</v>
      </c>
      <c r="AA44" s="37">
        <f t="shared" si="29"/>
        <v>0.13600895511335395</v>
      </c>
      <c r="AB44" s="37">
        <v>0</v>
      </c>
      <c r="AC44" s="37">
        <f t="shared" si="36"/>
        <v>4.2546402503360562E-3</v>
      </c>
      <c r="AD44" s="40">
        <f t="shared" si="19"/>
        <v>4.2546402503360562E-3</v>
      </c>
      <c r="AE44" s="39">
        <f t="shared" si="27"/>
        <v>2.5219006498941023E-2</v>
      </c>
      <c r="AF44" s="37">
        <f t="shared" si="20"/>
        <v>7.005850041165837E-2</v>
      </c>
      <c r="AG44" s="37">
        <f t="shared" si="37"/>
        <v>2.2577690007679545E-5</v>
      </c>
      <c r="AH44" s="37">
        <f t="shared" si="38"/>
        <v>7.4240143749336282E-2</v>
      </c>
      <c r="AI44" s="40">
        <f t="shared" si="21"/>
        <v>7.4262721439343968E-2</v>
      </c>
      <c r="AJ44" s="39">
        <f t="shared" si="22"/>
        <v>6.9828626883734465E-2</v>
      </c>
      <c r="AK44" s="37">
        <f t="shared" si="39"/>
        <v>0.11657719498725294</v>
      </c>
      <c r="AL44" s="37">
        <f t="shared" si="40"/>
        <v>5.5500000000000001E-2</v>
      </c>
      <c r="AM44" s="37">
        <f t="shared" si="41"/>
        <v>0.2423025</v>
      </c>
      <c r="AN44" s="40">
        <f t="shared" si="23"/>
        <v>0.29780250000000003</v>
      </c>
      <c r="AO44" s="39">
        <f t="shared" si="42"/>
        <v>2.9449160879582015E-4</v>
      </c>
      <c r="AP44" s="37">
        <f t="shared" si="43"/>
        <v>0.11834775000000002</v>
      </c>
      <c r="AQ44" s="40">
        <f t="shared" si="44"/>
        <v>2.0250000000000001E-2</v>
      </c>
      <c r="AR44" s="39">
        <f t="shared" si="24"/>
        <v>0.51521210329847589</v>
      </c>
      <c r="AS44" s="37">
        <f t="shared" si="25"/>
        <v>6.66</v>
      </c>
      <c r="AT44" s="40">
        <f t="shared" si="26"/>
        <v>92.819555772272849</v>
      </c>
    </row>
    <row r="45" spans="17:46" x14ac:dyDescent="0.3">
      <c r="Q45">
        <v>38</v>
      </c>
      <c r="R45" s="39">
        <f t="shared" si="0"/>
        <v>54</v>
      </c>
      <c r="S45" s="37">
        <f t="shared" si="30"/>
        <v>0.12666666666666668</v>
      </c>
      <c r="T45" s="37">
        <f t="shared" si="2"/>
        <v>45</v>
      </c>
      <c r="U45" s="40">
        <f t="shared" si="31"/>
        <v>0.15670103092783508</v>
      </c>
      <c r="V45" s="39">
        <f t="shared" si="32"/>
        <v>2</v>
      </c>
      <c r="W45" s="37">
        <f t="shared" si="33"/>
        <v>0.16666666666666663</v>
      </c>
      <c r="X45" s="40">
        <f t="shared" si="34"/>
        <v>0.83333333333333337</v>
      </c>
      <c r="Y45" s="39">
        <f t="shared" si="35"/>
        <v>0.30096308186195819</v>
      </c>
      <c r="Z45" s="37">
        <f t="shared" si="28"/>
        <v>0.30718257185881415</v>
      </c>
      <c r="AA45" s="37">
        <f t="shared" si="29"/>
        <v>0.17917434102246235</v>
      </c>
      <c r="AB45" s="37">
        <v>0</v>
      </c>
      <c r="AC45" s="37">
        <f t="shared" si="36"/>
        <v>7.3837922305917368E-3</v>
      </c>
      <c r="AD45" s="40">
        <f t="shared" si="19"/>
        <v>7.3837922305917368E-3</v>
      </c>
      <c r="AE45" s="39">
        <f t="shared" si="27"/>
        <v>2.6116838487972506E-2</v>
      </c>
      <c r="AF45" s="37">
        <f t="shared" si="20"/>
        <v>7.3147618417409452E-2</v>
      </c>
      <c r="AG45" s="37">
        <f t="shared" si="37"/>
        <v>2.4612640768639114E-5</v>
      </c>
      <c r="AH45" s="37">
        <f t="shared" si="38"/>
        <v>7.6246634120939974E-2</v>
      </c>
      <c r="AI45" s="40">
        <f t="shared" si="21"/>
        <v>7.6271246761708614E-2</v>
      </c>
      <c r="AJ45" s="39">
        <f t="shared" si="22"/>
        <v>0.13058419243986258</v>
      </c>
      <c r="AK45" s="37">
        <f t="shared" si="39"/>
        <v>0.16356304717354311</v>
      </c>
      <c r="AL45" s="37">
        <f t="shared" si="40"/>
        <v>5.7000000000000009E-2</v>
      </c>
      <c r="AM45" s="37">
        <f t="shared" si="41"/>
        <v>0.2423025</v>
      </c>
      <c r="AN45" s="40">
        <f t="shared" si="23"/>
        <v>0.29930250000000003</v>
      </c>
      <c r="AO45" s="39">
        <f t="shared" si="42"/>
        <v>3.2103444480833631E-4</v>
      </c>
      <c r="AP45" s="37">
        <f t="shared" si="43"/>
        <v>0.11834775000000002</v>
      </c>
      <c r="AQ45" s="40">
        <f t="shared" si="44"/>
        <v>2.0250000000000001E-2</v>
      </c>
      <c r="AR45" s="39">
        <f t="shared" si="24"/>
        <v>0.52187632343710866</v>
      </c>
      <c r="AS45" s="37">
        <f t="shared" si="25"/>
        <v>6.8400000000000007</v>
      </c>
      <c r="AT45" s="40">
        <f t="shared" si="26"/>
        <v>92.911096295170367</v>
      </c>
    </row>
    <row r="46" spans="17:46" x14ac:dyDescent="0.3">
      <c r="Q46">
        <v>39</v>
      </c>
      <c r="R46" s="39">
        <f t="shared" si="0"/>
        <v>54</v>
      </c>
      <c r="S46" s="37">
        <f t="shared" si="30"/>
        <v>0.13</v>
      </c>
      <c r="T46" s="37">
        <f t="shared" si="2"/>
        <v>45</v>
      </c>
      <c r="U46" s="40">
        <f t="shared" si="31"/>
        <v>0.16082474226804125</v>
      </c>
      <c r="V46" s="39">
        <f t="shared" si="32"/>
        <v>2</v>
      </c>
      <c r="W46" s="37">
        <f t="shared" si="33"/>
        <v>0.16666666666666663</v>
      </c>
      <c r="X46" s="40">
        <f t="shared" si="34"/>
        <v>0.83333333333333337</v>
      </c>
      <c r="Y46" s="39">
        <f t="shared" si="35"/>
        <v>0.30096308186195819</v>
      </c>
      <c r="Z46" s="37">
        <f t="shared" si="28"/>
        <v>0.31130628319902032</v>
      </c>
      <c r="AA46" s="37">
        <f t="shared" si="29"/>
        <v>0.1827917643455777</v>
      </c>
      <c r="AB46" s="37">
        <v>0</v>
      </c>
      <c r="AC46" s="37">
        <f t="shared" si="36"/>
        <v>7.6849506958909181E-3</v>
      </c>
      <c r="AD46" s="40">
        <f t="shared" si="19"/>
        <v>7.6849506958909181E-3</v>
      </c>
      <c r="AE46" s="39">
        <f t="shared" si="27"/>
        <v>2.6804123711340201E-2</v>
      </c>
      <c r="AF46" s="37">
        <f t="shared" si="20"/>
        <v>7.4624425304955416E-2</v>
      </c>
      <c r="AG46" s="37">
        <f t="shared" si="37"/>
        <v>2.5616502319636404E-5</v>
      </c>
      <c r="AH46" s="37">
        <f t="shared" si="38"/>
        <v>7.8253124492543652E-2</v>
      </c>
      <c r="AI46" s="40">
        <f t="shared" si="21"/>
        <v>7.8278740994863288E-2</v>
      </c>
      <c r="AJ46" s="39">
        <f t="shared" si="22"/>
        <v>0.13402061855670105</v>
      </c>
      <c r="AK46" s="37">
        <f t="shared" si="39"/>
        <v>0.1668652877637358</v>
      </c>
      <c r="AL46" s="37">
        <f t="shared" si="40"/>
        <v>5.8500000000000003E-2</v>
      </c>
      <c r="AM46" s="37">
        <f t="shared" si="41"/>
        <v>0.2423025</v>
      </c>
      <c r="AN46" s="40">
        <f t="shared" si="23"/>
        <v>0.30080250000000003</v>
      </c>
      <c r="AO46" s="39">
        <f t="shared" si="42"/>
        <v>3.3412829112569223E-4</v>
      </c>
      <c r="AP46" s="37">
        <f t="shared" si="43"/>
        <v>0.11834775000000002</v>
      </c>
      <c r="AQ46" s="40">
        <f t="shared" si="44"/>
        <v>2.0250000000000001E-2</v>
      </c>
      <c r="AR46" s="39">
        <f t="shared" si="24"/>
        <v>0.52569806998187985</v>
      </c>
      <c r="AS46" s="37">
        <f t="shared" si="25"/>
        <v>7.0200000000000005</v>
      </c>
      <c r="AT46" s="40">
        <f t="shared" si="26"/>
        <v>93.033141995527231</v>
      </c>
    </row>
    <row r="47" spans="17:46" x14ac:dyDescent="0.3">
      <c r="Q47">
        <v>40</v>
      </c>
      <c r="R47" s="39">
        <f t="shared" si="0"/>
        <v>54</v>
      </c>
      <c r="S47" s="37">
        <f t="shared" si="30"/>
        <v>0.13333333333333333</v>
      </c>
      <c r="T47" s="37">
        <f t="shared" si="2"/>
        <v>45</v>
      </c>
      <c r="U47" s="40">
        <f t="shared" si="31"/>
        <v>0.16494845360824742</v>
      </c>
      <c r="V47" s="39">
        <f t="shared" si="32"/>
        <v>2</v>
      </c>
      <c r="W47" s="37">
        <f t="shared" si="33"/>
        <v>0.16666666666666663</v>
      </c>
      <c r="X47" s="40">
        <f t="shared" si="34"/>
        <v>0.83333333333333337</v>
      </c>
      <c r="Y47" s="39">
        <f t="shared" si="35"/>
        <v>0.30096308186195819</v>
      </c>
      <c r="Z47" s="37">
        <f t="shared" si="28"/>
        <v>0.31542999453922649</v>
      </c>
      <c r="AA47" s="37">
        <f t="shared" si="29"/>
        <v>0.18643021143242708</v>
      </c>
      <c r="AB47" s="37">
        <v>0</v>
      </c>
      <c r="AC47" s="37">
        <f t="shared" si="36"/>
        <v>7.9939314589900778E-3</v>
      </c>
      <c r="AD47" s="40">
        <f t="shared" si="19"/>
        <v>7.9939314589900778E-3</v>
      </c>
      <c r="AE47" s="39">
        <f t="shared" si="27"/>
        <v>2.7491408934707896E-2</v>
      </c>
      <c r="AF47" s="37">
        <f t="shared" si="20"/>
        <v>7.610981510810487E-2</v>
      </c>
      <c r="AG47" s="37">
        <f t="shared" si="37"/>
        <v>2.6646438196633576E-5</v>
      </c>
      <c r="AH47" s="37">
        <f t="shared" si="38"/>
        <v>8.025961486414733E-2</v>
      </c>
      <c r="AI47" s="40">
        <f t="shared" si="21"/>
        <v>8.0286261302343967E-2</v>
      </c>
      <c r="AJ47" s="39">
        <f t="shared" si="22"/>
        <v>0.13745704467353953</v>
      </c>
      <c r="AK47" s="37">
        <f t="shared" si="39"/>
        <v>0.17018672033666299</v>
      </c>
      <c r="AL47" s="37">
        <f t="shared" si="40"/>
        <v>0.06</v>
      </c>
      <c r="AM47" s="37">
        <f t="shared" si="41"/>
        <v>0.2423025</v>
      </c>
      <c r="AN47" s="40">
        <f t="shared" si="23"/>
        <v>0.30230250000000003</v>
      </c>
      <c r="AO47" s="39">
        <f t="shared" si="42"/>
        <v>3.4756223734739444E-4</v>
      </c>
      <c r="AP47" s="37">
        <f t="shared" si="43"/>
        <v>0.11834775000000002</v>
      </c>
      <c r="AQ47" s="40">
        <f t="shared" si="44"/>
        <v>2.0250000000000001E-2</v>
      </c>
      <c r="AR47" s="39">
        <f t="shared" si="24"/>
        <v>0.52952800499868147</v>
      </c>
      <c r="AS47" s="37">
        <f t="shared" si="25"/>
        <v>7.2</v>
      </c>
      <c r="AT47" s="40">
        <f t="shared" si="26"/>
        <v>93.149284087511731</v>
      </c>
    </row>
    <row r="48" spans="17:46" x14ac:dyDescent="0.3">
      <c r="Q48">
        <v>41</v>
      </c>
      <c r="R48" s="39">
        <f t="shared" si="0"/>
        <v>54</v>
      </c>
      <c r="S48" s="37">
        <f t="shared" si="30"/>
        <v>0.13666666666666669</v>
      </c>
      <c r="T48" s="37">
        <f t="shared" si="2"/>
        <v>45</v>
      </c>
      <c r="U48" s="40">
        <f t="shared" si="31"/>
        <v>0.16907216494845362</v>
      </c>
      <c r="V48" s="39">
        <f t="shared" si="32"/>
        <v>2</v>
      </c>
      <c r="W48" s="37">
        <f t="shared" si="33"/>
        <v>0.16666666666666663</v>
      </c>
      <c r="X48" s="40">
        <f t="shared" si="34"/>
        <v>0.83333333333333337</v>
      </c>
      <c r="Y48" s="39">
        <f t="shared" si="35"/>
        <v>0.30096308186195819</v>
      </c>
      <c r="Z48" s="37">
        <f t="shared" si="28"/>
        <v>0.31955370587943271</v>
      </c>
      <c r="AA48" s="37">
        <f t="shared" si="29"/>
        <v>0.19008847505134133</v>
      </c>
      <c r="AB48" s="37">
        <v>0</v>
      </c>
      <c r="AC48" s="37">
        <f t="shared" si="36"/>
        <v>8.3107345198892152E-3</v>
      </c>
      <c r="AD48" s="40">
        <f t="shared" si="19"/>
        <v>8.3107345198892152E-3</v>
      </c>
      <c r="AE48" s="39">
        <f t="shared" si="27"/>
        <v>2.8178694158075598E-2</v>
      </c>
      <c r="AF48" s="37">
        <f t="shared" si="20"/>
        <v>7.7603294976592768E-2</v>
      </c>
      <c r="AG48" s="37">
        <f t="shared" si="37"/>
        <v>2.7702448399630713E-5</v>
      </c>
      <c r="AH48" s="37">
        <f t="shared" si="38"/>
        <v>8.2266105235751008E-2</v>
      </c>
      <c r="AI48" s="40">
        <f t="shared" si="21"/>
        <v>8.2293807684150636E-2</v>
      </c>
      <c r="AJ48" s="39">
        <f t="shared" si="22"/>
        <v>0.14089347079037803</v>
      </c>
      <c r="AK48" s="37">
        <f t="shared" si="39"/>
        <v>0.1735262428456294</v>
      </c>
      <c r="AL48" s="37">
        <f t="shared" si="40"/>
        <v>6.1500000000000013E-2</v>
      </c>
      <c r="AM48" s="37">
        <f t="shared" si="41"/>
        <v>0.2423025</v>
      </c>
      <c r="AN48" s="40">
        <f t="shared" si="23"/>
        <v>0.30380250000000003</v>
      </c>
      <c r="AO48" s="39">
        <f t="shared" si="42"/>
        <v>3.6133628347344407E-4</v>
      </c>
      <c r="AP48" s="37">
        <f t="shared" si="43"/>
        <v>0.11834775000000002</v>
      </c>
      <c r="AQ48" s="40">
        <f t="shared" si="44"/>
        <v>2.0250000000000001E-2</v>
      </c>
      <c r="AR48" s="39">
        <f t="shared" si="24"/>
        <v>0.5333661284875133</v>
      </c>
      <c r="AS48" s="37">
        <f t="shared" si="25"/>
        <v>7.3800000000000008</v>
      </c>
      <c r="AT48" s="40">
        <f t="shared" si="26"/>
        <v>93.259933638512749</v>
      </c>
    </row>
    <row r="49" spans="17:46" x14ac:dyDescent="0.3">
      <c r="Q49">
        <v>42</v>
      </c>
      <c r="R49" s="39">
        <f t="shared" si="0"/>
        <v>54</v>
      </c>
      <c r="S49" s="37">
        <f t="shared" si="30"/>
        <v>0.14000000000000001</v>
      </c>
      <c r="T49" s="37">
        <f t="shared" si="2"/>
        <v>45</v>
      </c>
      <c r="U49" s="40">
        <f t="shared" si="31"/>
        <v>0.17319587628865982</v>
      </c>
      <c r="V49" s="39">
        <f t="shared" si="32"/>
        <v>2</v>
      </c>
      <c r="W49" s="37">
        <f t="shared" si="33"/>
        <v>0.16666666666666663</v>
      </c>
      <c r="X49" s="40">
        <f t="shared" si="34"/>
        <v>0.83333333333333337</v>
      </c>
      <c r="Y49" s="39">
        <f t="shared" si="35"/>
        <v>0.30096308186195819</v>
      </c>
      <c r="Z49" s="37">
        <f t="shared" si="28"/>
        <v>0.32367741721963894</v>
      </c>
      <c r="AA49" s="37">
        <f t="shared" si="29"/>
        <v>0.19376543280570988</v>
      </c>
      <c r="AB49" s="37">
        <v>0</v>
      </c>
      <c r="AC49" s="37">
        <f t="shared" si="36"/>
        <v>8.6353598785883362E-3</v>
      </c>
      <c r="AD49" s="40">
        <f t="shared" si="19"/>
        <v>8.6353598785883362E-3</v>
      </c>
      <c r="AE49" s="39">
        <f t="shared" si="27"/>
        <v>2.8865979381443297E-2</v>
      </c>
      <c r="AF49" s="37">
        <f t="shared" si="20"/>
        <v>7.9104406693921561E-2</v>
      </c>
      <c r="AG49" s="37">
        <f t="shared" si="37"/>
        <v>2.8784532928627773E-5</v>
      </c>
      <c r="AH49" s="37">
        <f t="shared" si="38"/>
        <v>8.4272595607354686E-2</v>
      </c>
      <c r="AI49" s="40">
        <f t="shared" si="21"/>
        <v>8.4301380140283308E-2</v>
      </c>
      <c r="AJ49" s="39">
        <f t="shared" si="22"/>
        <v>0.14432989690721651</v>
      </c>
      <c r="AK49" s="37">
        <f t="shared" si="39"/>
        <v>0.17688283068739805</v>
      </c>
      <c r="AL49" s="37">
        <f t="shared" si="40"/>
        <v>6.3000000000000014E-2</v>
      </c>
      <c r="AM49" s="37">
        <f t="shared" si="41"/>
        <v>0.2423025</v>
      </c>
      <c r="AN49" s="40">
        <f t="shared" si="23"/>
        <v>0.30530250000000003</v>
      </c>
      <c r="AO49" s="39">
        <f t="shared" si="42"/>
        <v>3.7545042950384053E-4</v>
      </c>
      <c r="AP49" s="37">
        <f t="shared" si="43"/>
        <v>0.11834775000000002</v>
      </c>
      <c r="AQ49" s="40">
        <f t="shared" si="44"/>
        <v>2.0250000000000001E-2</v>
      </c>
      <c r="AR49" s="39">
        <f t="shared" si="24"/>
        <v>0.53721244044837546</v>
      </c>
      <c r="AS49" s="37">
        <f t="shared" si="25"/>
        <v>7.5600000000000005</v>
      </c>
      <c r="AT49" s="40">
        <f t="shared" si="26"/>
        <v>93.365464418781784</v>
      </c>
    </row>
    <row r="50" spans="17:46" x14ac:dyDescent="0.3">
      <c r="Q50">
        <v>43</v>
      </c>
      <c r="R50" s="39">
        <f t="shared" si="0"/>
        <v>54</v>
      </c>
      <c r="S50" s="37">
        <f t="shared" si="30"/>
        <v>0.14333333333333334</v>
      </c>
      <c r="T50" s="37">
        <f t="shared" si="2"/>
        <v>45</v>
      </c>
      <c r="U50" s="40">
        <f t="shared" si="31"/>
        <v>0.17731958762886599</v>
      </c>
      <c r="V50" s="39">
        <f t="shared" si="32"/>
        <v>2</v>
      </c>
      <c r="W50" s="37">
        <f t="shared" si="33"/>
        <v>0.16666666666666663</v>
      </c>
      <c r="X50" s="40">
        <f t="shared" si="34"/>
        <v>0.83333333333333337</v>
      </c>
      <c r="Y50" s="39">
        <f t="shared" si="35"/>
        <v>0.30096308186195819</v>
      </c>
      <c r="Z50" s="37">
        <f t="shared" si="28"/>
        <v>0.32780112855984511</v>
      </c>
      <c r="AA50" s="37">
        <f t="shared" si="29"/>
        <v>0.19746004037237103</v>
      </c>
      <c r="AB50" s="37">
        <v>0</v>
      </c>
      <c r="AC50" s="37">
        <f t="shared" si="36"/>
        <v>8.9678075350874322E-3</v>
      </c>
      <c r="AD50" s="40">
        <f t="shared" si="19"/>
        <v>8.9678075350874322E-3</v>
      </c>
      <c r="AE50" s="39">
        <f t="shared" si="27"/>
        <v>2.9553264604810992E-2</v>
      </c>
      <c r="AF50" s="37">
        <f t="shared" si="20"/>
        <v>8.0612723916945822E-2</v>
      </c>
      <c r="AG50" s="37">
        <f t="shared" si="37"/>
        <v>2.9892691783624753E-5</v>
      </c>
      <c r="AH50" s="37">
        <f t="shared" si="38"/>
        <v>8.6279085978958378E-2</v>
      </c>
      <c r="AI50" s="40">
        <f t="shared" si="21"/>
        <v>8.6308978670741998E-2</v>
      </c>
      <c r="AJ50" s="39">
        <f t="shared" si="22"/>
        <v>0.14776632302405499</v>
      </c>
      <c r="AK50" s="37">
        <f t="shared" si="39"/>
        <v>0.18025553052971402</v>
      </c>
      <c r="AL50" s="37">
        <f t="shared" si="40"/>
        <v>6.4500000000000002E-2</v>
      </c>
      <c r="AM50" s="37">
        <f t="shared" si="41"/>
        <v>0.2423025</v>
      </c>
      <c r="AN50" s="40">
        <f t="shared" si="23"/>
        <v>0.30680249999999998</v>
      </c>
      <c r="AO50" s="39">
        <f t="shared" si="42"/>
        <v>3.8990467543858375E-4</v>
      </c>
      <c r="AP50" s="37">
        <f t="shared" si="43"/>
        <v>0.11834775000000002</v>
      </c>
      <c r="AQ50" s="40">
        <f t="shared" si="44"/>
        <v>2.0250000000000001E-2</v>
      </c>
      <c r="AR50" s="39">
        <f t="shared" si="24"/>
        <v>0.54106694088126794</v>
      </c>
      <c r="AS50" s="37">
        <f t="shared" si="25"/>
        <v>7.74</v>
      </c>
      <c r="AT50" s="40">
        <f t="shared" si="26"/>
        <v>93.466217037684174</v>
      </c>
    </row>
    <row r="51" spans="17:46" x14ac:dyDescent="0.3">
      <c r="Q51">
        <v>44</v>
      </c>
      <c r="R51" s="39">
        <f t="shared" si="0"/>
        <v>54</v>
      </c>
      <c r="S51" s="37">
        <f t="shared" si="30"/>
        <v>0.14666666666666667</v>
      </c>
      <c r="T51" s="37">
        <f t="shared" si="2"/>
        <v>45</v>
      </c>
      <c r="U51" s="40">
        <f t="shared" si="31"/>
        <v>0.18144329896907216</v>
      </c>
      <c r="V51" s="39">
        <f t="shared" si="32"/>
        <v>2</v>
      </c>
      <c r="W51" s="37">
        <f t="shared" si="33"/>
        <v>0.16666666666666663</v>
      </c>
      <c r="X51" s="40">
        <f t="shared" si="34"/>
        <v>0.83333333333333337</v>
      </c>
      <c r="Y51" s="39">
        <f t="shared" si="35"/>
        <v>0.30096308186195819</v>
      </c>
      <c r="Z51" s="37">
        <f t="shared" si="28"/>
        <v>0.33192483990005128</v>
      </c>
      <c r="AA51" s="37">
        <f t="shared" si="29"/>
        <v>0.2011713253119525</v>
      </c>
      <c r="AB51" s="37">
        <v>0</v>
      </c>
      <c r="AC51" s="37">
        <f t="shared" si="36"/>
        <v>9.3080774893865084E-3</v>
      </c>
      <c r="AD51" s="40">
        <f t="shared" si="19"/>
        <v>9.3080774893865084E-3</v>
      </c>
      <c r="AE51" s="39">
        <f t="shared" si="27"/>
        <v>3.0240549828178687E-2</v>
      </c>
      <c r="AF51" s="37">
        <f t="shared" si="20"/>
        <v>8.212784964895424E-2</v>
      </c>
      <c r="AG51" s="37">
        <f t="shared" si="37"/>
        <v>3.1026924964621671E-5</v>
      </c>
      <c r="AH51" s="37">
        <f t="shared" si="38"/>
        <v>8.8285576350562042E-2</v>
      </c>
      <c r="AI51" s="40">
        <f t="shared" si="21"/>
        <v>8.8316603275526664E-2</v>
      </c>
      <c r="AJ51" s="39">
        <f t="shared" si="22"/>
        <v>0.15120274914089346</v>
      </c>
      <c r="AK51" s="37">
        <f t="shared" si="39"/>
        <v>0.18364345466094395</v>
      </c>
      <c r="AL51" s="37">
        <f t="shared" si="40"/>
        <v>6.6000000000000003E-2</v>
      </c>
      <c r="AM51" s="37">
        <f t="shared" si="41"/>
        <v>0.2423025</v>
      </c>
      <c r="AN51" s="40">
        <f t="shared" si="23"/>
        <v>0.30830250000000003</v>
      </c>
      <c r="AO51" s="39">
        <f t="shared" si="42"/>
        <v>4.0469902127767402E-4</v>
      </c>
      <c r="AP51" s="37">
        <f t="shared" si="43"/>
        <v>0.11834775000000002</v>
      </c>
      <c r="AQ51" s="40">
        <f t="shared" si="44"/>
        <v>2.0250000000000001E-2</v>
      </c>
      <c r="AR51" s="39">
        <f t="shared" si="24"/>
        <v>0.54492962978619086</v>
      </c>
      <c r="AS51" s="37">
        <f t="shared" si="25"/>
        <v>7.92</v>
      </c>
      <c r="AT51" s="40">
        <f t="shared" si="26"/>
        <v>93.562502541442214</v>
      </c>
    </row>
    <row r="52" spans="17:46" x14ac:dyDescent="0.3">
      <c r="Q52">
        <v>45</v>
      </c>
      <c r="R52" s="39">
        <f t="shared" si="0"/>
        <v>54</v>
      </c>
      <c r="S52" s="37">
        <f t="shared" si="30"/>
        <v>0.15000000000000002</v>
      </c>
      <c r="T52" s="37">
        <f t="shared" si="2"/>
        <v>45</v>
      </c>
      <c r="U52" s="40">
        <f t="shared" si="31"/>
        <v>0.18556701030927839</v>
      </c>
      <c r="V52" s="39">
        <f t="shared" si="32"/>
        <v>2</v>
      </c>
      <c r="W52" s="37">
        <f t="shared" si="33"/>
        <v>0.16666666666666663</v>
      </c>
      <c r="X52" s="40">
        <f t="shared" si="34"/>
        <v>0.83333333333333337</v>
      </c>
      <c r="Y52" s="39">
        <f t="shared" si="35"/>
        <v>0.30096308186195819</v>
      </c>
      <c r="Z52" s="37">
        <f t="shared" si="28"/>
        <v>0.33604855124025745</v>
      </c>
      <c r="AA52" s="37">
        <f t="shared" si="29"/>
        <v>0.20489838140432234</v>
      </c>
      <c r="AB52" s="37">
        <v>0</v>
      </c>
      <c r="AC52" s="37">
        <f t="shared" si="36"/>
        <v>9.6561697414855648E-3</v>
      </c>
      <c r="AD52" s="40">
        <f t="shared" si="19"/>
        <v>9.6561697414855648E-3</v>
      </c>
      <c r="AE52" s="39">
        <f t="shared" si="27"/>
        <v>3.0927835051546389E-2</v>
      </c>
      <c r="AF52" s="37">
        <f t="shared" si="20"/>
        <v>8.3649413927127159E-2</v>
      </c>
      <c r="AG52" s="37">
        <f t="shared" si="37"/>
        <v>3.2187232471618536E-5</v>
      </c>
      <c r="AH52" s="37">
        <f t="shared" si="38"/>
        <v>9.0292066722165748E-2</v>
      </c>
      <c r="AI52" s="40">
        <f t="shared" si="21"/>
        <v>9.0324253954637362E-2</v>
      </c>
      <c r="AJ52" s="39">
        <f t="shared" si="22"/>
        <v>0.15463917525773199</v>
      </c>
      <c r="AK52" s="37">
        <f t="shared" si="39"/>
        <v>0.18704577581907397</v>
      </c>
      <c r="AL52" s="37">
        <f t="shared" si="40"/>
        <v>6.7500000000000018E-2</v>
      </c>
      <c r="AM52" s="37">
        <f t="shared" si="41"/>
        <v>0.2423025</v>
      </c>
      <c r="AN52" s="40">
        <f t="shared" si="23"/>
        <v>0.30980250000000004</v>
      </c>
      <c r="AO52" s="39">
        <f t="shared" si="42"/>
        <v>4.1983346702111134E-4</v>
      </c>
      <c r="AP52" s="37">
        <f t="shared" si="43"/>
        <v>0.11834775000000002</v>
      </c>
      <c r="AQ52" s="40">
        <f t="shared" si="44"/>
        <v>2.0250000000000001E-2</v>
      </c>
      <c r="AR52" s="39">
        <f t="shared" si="24"/>
        <v>0.5488005071631441</v>
      </c>
      <c r="AS52" s="37">
        <f t="shared" si="25"/>
        <v>8.1000000000000014</v>
      </c>
      <c r="AT52" s="40">
        <f t="shared" si="26"/>
        <v>93.654605552427611</v>
      </c>
    </row>
    <row r="53" spans="17:46" x14ac:dyDescent="0.3">
      <c r="Q53">
        <v>46</v>
      </c>
      <c r="R53" s="39">
        <f t="shared" si="0"/>
        <v>54</v>
      </c>
      <c r="S53" s="37">
        <f t="shared" si="30"/>
        <v>0.15333333333333335</v>
      </c>
      <c r="T53" s="37">
        <f t="shared" si="2"/>
        <v>45</v>
      </c>
      <c r="U53" s="40">
        <f t="shared" si="31"/>
        <v>0.18969072164948456</v>
      </c>
      <c r="V53" s="39">
        <f t="shared" si="32"/>
        <v>2</v>
      </c>
      <c r="W53" s="37">
        <f t="shared" si="33"/>
        <v>0.16666666666666663</v>
      </c>
      <c r="X53" s="40">
        <f t="shared" si="34"/>
        <v>0.83333333333333337</v>
      </c>
      <c r="Y53" s="39">
        <f t="shared" si="35"/>
        <v>0.30096308186195819</v>
      </c>
      <c r="Z53" s="37">
        <f t="shared" si="28"/>
        <v>0.34017226258046362</v>
      </c>
      <c r="AA53" s="37">
        <f t="shared" si="29"/>
        <v>0.20864036346519707</v>
      </c>
      <c r="AB53" s="37">
        <v>0</v>
      </c>
      <c r="AC53" s="37">
        <f t="shared" si="36"/>
        <v>1.0012084291384594E-2</v>
      </c>
      <c r="AD53" s="40">
        <f t="shared" si="19"/>
        <v>1.0012084291384594E-2</v>
      </c>
      <c r="AE53" s="39">
        <f t="shared" si="27"/>
        <v>3.1615120274914088E-2</v>
      </c>
      <c r="AF53" s="37">
        <f t="shared" si="20"/>
        <v>8.517707170642573E-2</v>
      </c>
      <c r="AG53" s="37">
        <f t="shared" si="37"/>
        <v>3.3373614304615315E-5</v>
      </c>
      <c r="AH53" s="37">
        <f t="shared" si="38"/>
        <v>9.2298557093769426E-2</v>
      </c>
      <c r="AI53" s="40">
        <f t="shared" si="21"/>
        <v>9.2331930708074036E-2</v>
      </c>
      <c r="AJ53" s="39">
        <f t="shared" si="22"/>
        <v>0.15807560137457047</v>
      </c>
      <c r="AK53" s="37">
        <f t="shared" si="39"/>
        <v>0.19046172245994195</v>
      </c>
      <c r="AL53" s="37">
        <f t="shared" si="40"/>
        <v>6.9000000000000006E-2</v>
      </c>
      <c r="AM53" s="37">
        <f t="shared" si="41"/>
        <v>0.2423025</v>
      </c>
      <c r="AN53" s="40">
        <f t="shared" si="23"/>
        <v>0.31130250000000004</v>
      </c>
      <c r="AO53" s="39">
        <f t="shared" si="42"/>
        <v>4.3530801266889542E-4</v>
      </c>
      <c r="AP53" s="37">
        <f t="shared" si="43"/>
        <v>0.11834775000000002</v>
      </c>
      <c r="AQ53" s="40">
        <f t="shared" si="44"/>
        <v>2.0250000000000001E-2</v>
      </c>
      <c r="AR53" s="39">
        <f t="shared" si="24"/>
        <v>0.55267957301212756</v>
      </c>
      <c r="AS53" s="37">
        <f t="shared" si="25"/>
        <v>8.2800000000000011</v>
      </c>
      <c r="AT53" s="40">
        <f t="shared" si="26"/>
        <v>93.742787016741588</v>
      </c>
    </row>
    <row r="54" spans="17:46" x14ac:dyDescent="0.3">
      <c r="Q54">
        <v>47</v>
      </c>
      <c r="R54" s="39">
        <f t="shared" si="0"/>
        <v>54</v>
      </c>
      <c r="S54" s="37">
        <f t="shared" si="30"/>
        <v>0.15666666666666668</v>
      </c>
      <c r="T54" s="37">
        <f t="shared" si="2"/>
        <v>45</v>
      </c>
      <c r="U54" s="40">
        <f t="shared" si="31"/>
        <v>0.19381443298969075</v>
      </c>
      <c r="V54" s="39">
        <f t="shared" si="32"/>
        <v>2</v>
      </c>
      <c r="W54" s="37">
        <f t="shared" si="33"/>
        <v>0.16666666666666663</v>
      </c>
      <c r="X54" s="40">
        <f t="shared" si="34"/>
        <v>0.83333333333333337</v>
      </c>
      <c r="Y54" s="39">
        <f t="shared" si="35"/>
        <v>0.30096308186195819</v>
      </c>
      <c r="Z54" s="37">
        <f t="shared" si="28"/>
        <v>0.34429597392066985</v>
      </c>
      <c r="AA54" s="37">
        <f t="shared" si="29"/>
        <v>0.21239648260294389</v>
      </c>
      <c r="AB54" s="37">
        <v>0</v>
      </c>
      <c r="AC54" s="37">
        <f t="shared" si="36"/>
        <v>1.037582113908361E-2</v>
      </c>
      <c r="AD54" s="40">
        <f t="shared" si="19"/>
        <v>1.037582113908361E-2</v>
      </c>
      <c r="AE54" s="39">
        <f t="shared" si="27"/>
        <v>3.2302405498281783E-2</v>
      </c>
      <c r="AF54" s="37">
        <f t="shared" si="20"/>
        <v>8.6710500923189451E-2</v>
      </c>
      <c r="AG54" s="37">
        <f t="shared" si="37"/>
        <v>3.4586070463612014E-5</v>
      </c>
      <c r="AH54" s="37">
        <f t="shared" si="38"/>
        <v>9.4305047465373118E-2</v>
      </c>
      <c r="AI54" s="40">
        <f t="shared" si="21"/>
        <v>9.4339633535836728E-2</v>
      </c>
      <c r="AJ54" s="39">
        <f t="shared" si="22"/>
        <v>0.16151202749140897</v>
      </c>
      <c r="AK54" s="37">
        <f t="shared" si="39"/>
        <v>0.19389057442730989</v>
      </c>
      <c r="AL54" s="37">
        <f t="shared" si="40"/>
        <v>7.0500000000000007E-2</v>
      </c>
      <c r="AM54" s="37">
        <f t="shared" si="41"/>
        <v>0.2423025</v>
      </c>
      <c r="AN54" s="40">
        <f t="shared" si="23"/>
        <v>0.31280249999999998</v>
      </c>
      <c r="AO54" s="39">
        <f t="shared" si="42"/>
        <v>4.5112265822102628E-4</v>
      </c>
      <c r="AP54" s="37">
        <f t="shared" si="43"/>
        <v>0.11834775000000002</v>
      </c>
      <c r="AQ54" s="40">
        <f t="shared" si="44"/>
        <v>2.0250000000000001E-2</v>
      </c>
      <c r="AR54" s="39">
        <f t="shared" si="24"/>
        <v>0.55656682733314133</v>
      </c>
      <c r="AS54" s="37">
        <f t="shared" si="25"/>
        <v>8.4600000000000009</v>
      </c>
      <c r="AT54" s="40">
        <f t="shared" si="26"/>
        <v>93.827286615944061</v>
      </c>
    </row>
    <row r="55" spans="17:46" x14ac:dyDescent="0.3">
      <c r="Q55">
        <v>48</v>
      </c>
      <c r="R55" s="39">
        <f t="shared" si="0"/>
        <v>54</v>
      </c>
      <c r="S55" s="37">
        <f t="shared" si="30"/>
        <v>0.16</v>
      </c>
      <c r="T55" s="37">
        <f t="shared" si="2"/>
        <v>45</v>
      </c>
      <c r="U55" s="40">
        <f t="shared" si="31"/>
        <v>0.19793814432989693</v>
      </c>
      <c r="V55" s="39">
        <f t="shared" si="32"/>
        <v>2</v>
      </c>
      <c r="W55" s="37">
        <f t="shared" si="33"/>
        <v>0.16666666666666663</v>
      </c>
      <c r="X55" s="40">
        <f t="shared" si="34"/>
        <v>0.83333333333333337</v>
      </c>
      <c r="Y55" s="39">
        <f t="shared" si="35"/>
        <v>0.30096308186195819</v>
      </c>
      <c r="Z55" s="37">
        <f t="shared" si="28"/>
        <v>0.34841968526087602</v>
      </c>
      <c r="AA55" s="37">
        <f t="shared" si="29"/>
        <v>0.2161660018776089</v>
      </c>
      <c r="AB55" s="37">
        <v>0</v>
      </c>
      <c r="AC55" s="37">
        <f t="shared" si="36"/>
        <v>1.0747380284582596E-2</v>
      </c>
      <c r="AD55" s="40">
        <f t="shared" si="19"/>
        <v>1.0747380284582596E-2</v>
      </c>
      <c r="AE55" s="39">
        <f t="shared" si="27"/>
        <v>3.2989690721649478E-2</v>
      </c>
      <c r="AF55" s="37">
        <f t="shared" si="20"/>
        <v>8.8249400722942045E-2</v>
      </c>
      <c r="AG55" s="37">
        <f t="shared" si="37"/>
        <v>3.582460094860866E-5</v>
      </c>
      <c r="AH55" s="37">
        <f t="shared" si="38"/>
        <v>9.6311537836976796E-2</v>
      </c>
      <c r="AI55" s="40">
        <f t="shared" si="21"/>
        <v>9.634736243792541E-2</v>
      </c>
      <c r="AJ55" s="39">
        <f t="shared" si="22"/>
        <v>0.16494845360824745</v>
      </c>
      <c r="AK55" s="37">
        <f t="shared" si="39"/>
        <v>0.19733165899011754</v>
      </c>
      <c r="AL55" s="37">
        <f t="shared" si="40"/>
        <v>7.2000000000000008E-2</v>
      </c>
      <c r="AM55" s="37">
        <f t="shared" si="41"/>
        <v>0.2423025</v>
      </c>
      <c r="AN55" s="40">
        <f t="shared" si="23"/>
        <v>0.31430250000000004</v>
      </c>
      <c r="AO55" s="39">
        <f t="shared" si="42"/>
        <v>4.6727740367750423E-4</v>
      </c>
      <c r="AP55" s="37">
        <f t="shared" si="43"/>
        <v>0.11834775000000002</v>
      </c>
      <c r="AQ55" s="40">
        <f t="shared" si="44"/>
        <v>2.0250000000000001E-2</v>
      </c>
      <c r="AR55" s="39">
        <f t="shared" si="24"/>
        <v>0.56046227012618555</v>
      </c>
      <c r="AS55" s="37">
        <f t="shared" si="25"/>
        <v>8.64</v>
      </c>
      <c r="AT55" s="40">
        <f t="shared" si="26"/>
        <v>93.908324889869917</v>
      </c>
    </row>
    <row r="56" spans="17:46" x14ac:dyDescent="0.3">
      <c r="Q56">
        <v>49</v>
      </c>
      <c r="R56" s="39">
        <f t="shared" si="0"/>
        <v>54</v>
      </c>
      <c r="S56" s="37">
        <f t="shared" si="30"/>
        <v>0.16333333333333333</v>
      </c>
      <c r="T56" s="37">
        <f t="shared" si="2"/>
        <v>45</v>
      </c>
      <c r="U56" s="40">
        <f t="shared" si="31"/>
        <v>0.2020618556701031</v>
      </c>
      <c r="V56" s="39">
        <f t="shared" si="32"/>
        <v>2</v>
      </c>
      <c r="W56" s="37">
        <f t="shared" si="33"/>
        <v>0.16666666666666663</v>
      </c>
      <c r="X56" s="40">
        <f t="shared" si="34"/>
        <v>0.83333333333333337</v>
      </c>
      <c r="Y56" s="39">
        <f t="shared" si="35"/>
        <v>0.30096308186195819</v>
      </c>
      <c r="Z56" s="37">
        <f t="shared" si="28"/>
        <v>0.35254339660108219</v>
      </c>
      <c r="AA56" s="37">
        <f t="shared" si="29"/>
        <v>0.21994823232713848</v>
      </c>
      <c r="AB56" s="37">
        <v>0</v>
      </c>
      <c r="AC56" s="37">
        <f t="shared" si="36"/>
        <v>1.1126761727881563E-2</v>
      </c>
      <c r="AD56" s="40">
        <f t="shared" si="19"/>
        <v>1.1126761727881563E-2</v>
      </c>
      <c r="AE56" s="39">
        <f t="shared" si="27"/>
        <v>3.3676975945017174E-2</v>
      </c>
      <c r="AF56" s="37">
        <f t="shared" si="20"/>
        <v>8.9793489838102869E-2</v>
      </c>
      <c r="AG56" s="37">
        <f t="shared" si="37"/>
        <v>3.7089205759605226E-5</v>
      </c>
      <c r="AH56" s="37">
        <f t="shared" si="38"/>
        <v>9.8318028208580474E-2</v>
      </c>
      <c r="AI56" s="40">
        <f t="shared" si="21"/>
        <v>9.8355117414340082E-2</v>
      </c>
      <c r="AJ56" s="39">
        <f t="shared" si="22"/>
        <v>0.16838487972508592</v>
      </c>
      <c r="AK56" s="37">
        <f t="shared" si="39"/>
        <v>0.20078434721493463</v>
      </c>
      <c r="AL56" s="37">
        <f t="shared" si="40"/>
        <v>7.3499999999999996E-2</v>
      </c>
      <c r="AM56" s="37">
        <f t="shared" si="41"/>
        <v>0.2423025</v>
      </c>
      <c r="AN56" s="40">
        <f t="shared" si="23"/>
        <v>0.31580249999999999</v>
      </c>
      <c r="AO56" s="39">
        <f t="shared" si="42"/>
        <v>4.8377224903832901E-4</v>
      </c>
      <c r="AP56" s="37">
        <f t="shared" si="43"/>
        <v>0.11834775000000002</v>
      </c>
      <c r="AQ56" s="40">
        <f t="shared" si="44"/>
        <v>2.0250000000000001E-2</v>
      </c>
      <c r="AR56" s="39">
        <f t="shared" si="24"/>
        <v>0.56436590139125997</v>
      </c>
      <c r="AS56" s="37">
        <f t="shared" si="25"/>
        <v>8.82</v>
      </c>
      <c r="AT56" s="40">
        <f t="shared" si="26"/>
        <v>93.986105110121599</v>
      </c>
    </row>
    <row r="57" spans="17:46" x14ac:dyDescent="0.3">
      <c r="Q57">
        <v>50</v>
      </c>
      <c r="R57" s="39">
        <f t="shared" si="0"/>
        <v>54</v>
      </c>
      <c r="S57" s="37">
        <f t="shared" si="30"/>
        <v>0.16666666666666669</v>
      </c>
      <c r="T57" s="37">
        <f t="shared" si="2"/>
        <v>45</v>
      </c>
      <c r="U57" s="40">
        <f t="shared" si="31"/>
        <v>0.20618556701030932</v>
      </c>
      <c r="V57" s="39">
        <f t="shared" si="32"/>
        <v>2</v>
      </c>
      <c r="W57" s="37">
        <f t="shared" si="33"/>
        <v>0.16666666666666663</v>
      </c>
      <c r="X57" s="40">
        <f t="shared" si="34"/>
        <v>0.83333333333333337</v>
      </c>
      <c r="Y57" s="39">
        <f t="shared" si="35"/>
        <v>0.30096308186195819</v>
      </c>
      <c r="Z57" s="37">
        <f t="shared" si="28"/>
        <v>0.35666710794128842</v>
      </c>
      <c r="AA57" s="37">
        <f t="shared" si="29"/>
        <v>0.22374252932857908</v>
      </c>
      <c r="AB57" s="37">
        <v>0</v>
      </c>
      <c r="AC57" s="37">
        <f t="shared" si="36"/>
        <v>1.1513965468980515E-2</v>
      </c>
      <c r="AD57" s="40">
        <f t="shared" si="19"/>
        <v>1.1513965468980515E-2</v>
      </c>
      <c r="AE57" s="39">
        <f t="shared" si="27"/>
        <v>3.4364261168384883E-2</v>
      </c>
      <c r="AF57" s="37">
        <f t="shared" si="20"/>
        <v>9.1342505102453148E-2</v>
      </c>
      <c r="AG57" s="37">
        <f t="shared" si="37"/>
        <v>3.837988489660172E-5</v>
      </c>
      <c r="AH57" s="37">
        <f t="shared" si="38"/>
        <v>0.10032451858018418</v>
      </c>
      <c r="AI57" s="40">
        <f t="shared" si="21"/>
        <v>0.10036289846508079</v>
      </c>
      <c r="AJ57" s="39">
        <f t="shared" si="22"/>
        <v>0.17182130584192445</v>
      </c>
      <c r="AK57" s="37">
        <f t="shared" si="39"/>
        <v>0.20424805064420665</v>
      </c>
      <c r="AL57" s="37">
        <f t="shared" si="40"/>
        <v>7.5000000000000011E-2</v>
      </c>
      <c r="AM57" s="37">
        <f t="shared" si="41"/>
        <v>0.2423025</v>
      </c>
      <c r="AN57" s="40">
        <f t="shared" si="23"/>
        <v>0.31730250000000004</v>
      </c>
      <c r="AO57" s="39">
        <f t="shared" si="42"/>
        <v>5.0060719430350072E-4</v>
      </c>
      <c r="AP57" s="37">
        <f t="shared" si="43"/>
        <v>0.11834775000000002</v>
      </c>
      <c r="AQ57" s="40">
        <f t="shared" si="44"/>
        <v>2.0250000000000001E-2</v>
      </c>
      <c r="AR57" s="39">
        <f t="shared" si="24"/>
        <v>0.56827772112836483</v>
      </c>
      <c r="AS57" s="37">
        <f t="shared" si="25"/>
        <v>9.0000000000000018</v>
      </c>
      <c r="AT57" s="40">
        <f t="shared" si="26"/>
        <v>94.060814937744624</v>
      </c>
    </row>
    <row r="58" spans="17:46" x14ac:dyDescent="0.3">
      <c r="Q58">
        <v>51</v>
      </c>
      <c r="R58" s="39">
        <f t="shared" si="0"/>
        <v>54</v>
      </c>
      <c r="S58" s="37">
        <f t="shared" si="30"/>
        <v>0.17</v>
      </c>
      <c r="T58" s="37">
        <f t="shared" si="2"/>
        <v>45</v>
      </c>
      <c r="U58" s="40">
        <f t="shared" si="31"/>
        <v>0.21030927835051549</v>
      </c>
      <c r="V58" s="39">
        <f t="shared" si="32"/>
        <v>2</v>
      </c>
      <c r="W58" s="37">
        <f t="shared" si="33"/>
        <v>0.16666666666666663</v>
      </c>
      <c r="X58" s="40">
        <f t="shared" si="34"/>
        <v>0.83333333333333337</v>
      </c>
      <c r="Y58" s="39">
        <f t="shared" si="35"/>
        <v>0.30096308186195819</v>
      </c>
      <c r="Z58" s="37">
        <f t="shared" si="28"/>
        <v>0.36079081928149459</v>
      </c>
      <c r="AA58" s="37">
        <f t="shared" si="29"/>
        <v>0.2275482892647227</v>
      </c>
      <c r="AB58" s="37">
        <v>0</v>
      </c>
      <c r="AC58" s="37">
        <f t="shared" si="36"/>
        <v>1.1908991507879441E-2</v>
      </c>
      <c r="AD58" s="40">
        <f t="shared" si="19"/>
        <v>1.1908991507879441E-2</v>
      </c>
      <c r="AE58" s="39">
        <f t="shared" si="27"/>
        <v>3.5051546391752578E-2</v>
      </c>
      <c r="AF58" s="37">
        <f t="shared" si="20"/>
        <v>9.2896200090299627E-2</v>
      </c>
      <c r="AG58" s="37">
        <f t="shared" si="37"/>
        <v>3.9696638359598127E-5</v>
      </c>
      <c r="AH58" s="37">
        <f t="shared" si="38"/>
        <v>0.10233100895178786</v>
      </c>
      <c r="AI58" s="40">
        <f t="shared" si="21"/>
        <v>0.10237070559014745</v>
      </c>
      <c r="AJ58" s="39">
        <f t="shared" si="22"/>
        <v>0.17525773195876293</v>
      </c>
      <c r="AK58" s="37">
        <f t="shared" si="39"/>
        <v>0.20772221825333209</v>
      </c>
      <c r="AL58" s="37">
        <f t="shared" si="40"/>
        <v>7.6500000000000012E-2</v>
      </c>
      <c r="AM58" s="37">
        <f t="shared" si="41"/>
        <v>0.2423025</v>
      </c>
      <c r="AN58" s="40">
        <f t="shared" si="23"/>
        <v>0.31880249999999999</v>
      </c>
      <c r="AO58" s="39">
        <f t="shared" si="42"/>
        <v>5.1778223947301905E-4</v>
      </c>
      <c r="AP58" s="37">
        <f t="shared" si="43"/>
        <v>0.11834775000000002</v>
      </c>
      <c r="AQ58" s="40">
        <f t="shared" si="44"/>
        <v>2.0250000000000001E-2</v>
      </c>
      <c r="AR58" s="39">
        <f t="shared" si="24"/>
        <v>0.57219772933749991</v>
      </c>
      <c r="AS58" s="37">
        <f t="shared" si="25"/>
        <v>9.1800000000000015</v>
      </c>
      <c r="AT58" s="40">
        <f t="shared" si="26"/>
        <v>94.132627893544864</v>
      </c>
    </row>
    <row r="59" spans="17:46" x14ac:dyDescent="0.3">
      <c r="Q59">
        <v>52</v>
      </c>
      <c r="R59" s="39">
        <f t="shared" si="0"/>
        <v>54</v>
      </c>
      <c r="S59" s="37">
        <f t="shared" si="30"/>
        <v>0.17333333333333334</v>
      </c>
      <c r="T59" s="37">
        <f t="shared" si="2"/>
        <v>45</v>
      </c>
      <c r="U59" s="40">
        <f t="shared" si="31"/>
        <v>0.21443298969072164</v>
      </c>
      <c r="V59" s="39">
        <f t="shared" si="32"/>
        <v>2</v>
      </c>
      <c r="W59" s="37">
        <f t="shared" si="33"/>
        <v>0.16666666666666663</v>
      </c>
      <c r="X59" s="40">
        <f t="shared" si="34"/>
        <v>0.83333333333333337</v>
      </c>
      <c r="Y59" s="39">
        <f t="shared" si="35"/>
        <v>0.30096308186195819</v>
      </c>
      <c r="Z59" s="37">
        <f t="shared" si="28"/>
        <v>0.36491453062170076</v>
      </c>
      <c r="AA59" s="37">
        <f t="shared" si="29"/>
        <v>0.23136494646918415</v>
      </c>
      <c r="AB59" s="37">
        <v>0</v>
      </c>
      <c r="AC59" s="37">
        <f t="shared" si="36"/>
        <v>1.2311839844578343E-2</v>
      </c>
      <c r="AD59" s="40">
        <f t="shared" si="19"/>
        <v>1.2311839844578343E-2</v>
      </c>
      <c r="AE59" s="39">
        <f t="shared" si="27"/>
        <v>3.5738831615120266E-2</v>
      </c>
      <c r="AF59" s="37">
        <f t="shared" si="20"/>
        <v>9.4454343869307594E-2</v>
      </c>
      <c r="AG59" s="37">
        <f t="shared" si="37"/>
        <v>4.1039466148594467E-5</v>
      </c>
      <c r="AH59" s="37">
        <f t="shared" si="38"/>
        <v>0.10433749932339151</v>
      </c>
      <c r="AI59" s="40">
        <f t="shared" si="21"/>
        <v>0.10437853878954011</v>
      </c>
      <c r="AJ59" s="39">
        <f t="shared" si="22"/>
        <v>0.17869415807560138</v>
      </c>
      <c r="AK59" s="37">
        <f t="shared" si="39"/>
        <v>0.21120633366191233</v>
      </c>
      <c r="AL59" s="37">
        <f t="shared" si="40"/>
        <v>7.8E-2</v>
      </c>
      <c r="AM59" s="37">
        <f t="shared" si="41"/>
        <v>0.2423025</v>
      </c>
      <c r="AN59" s="40">
        <f t="shared" si="23"/>
        <v>0.32030249999999999</v>
      </c>
      <c r="AO59" s="39">
        <f t="shared" si="42"/>
        <v>5.3529738454688436E-4</v>
      </c>
      <c r="AP59" s="37">
        <f t="shared" si="43"/>
        <v>0.11834775000000002</v>
      </c>
      <c r="AQ59" s="40">
        <f t="shared" si="44"/>
        <v>2.0250000000000001E-2</v>
      </c>
      <c r="AR59" s="39">
        <f t="shared" si="24"/>
        <v>0.5761259260186653</v>
      </c>
      <c r="AS59" s="37">
        <f t="shared" si="25"/>
        <v>9.36</v>
      </c>
      <c r="AT59" s="40">
        <f t="shared" si="26"/>
        <v>94.201704665295892</v>
      </c>
    </row>
    <row r="60" spans="17:46" x14ac:dyDescent="0.3">
      <c r="Q60">
        <v>53</v>
      </c>
      <c r="R60" s="39">
        <f t="shared" si="0"/>
        <v>54</v>
      </c>
      <c r="S60" s="37">
        <f t="shared" si="30"/>
        <v>0.17666666666666667</v>
      </c>
      <c r="T60" s="37">
        <f t="shared" si="2"/>
        <v>45</v>
      </c>
      <c r="U60" s="40">
        <f t="shared" si="31"/>
        <v>0.21855670103092784</v>
      </c>
      <c r="V60" s="39">
        <f t="shared" si="32"/>
        <v>2</v>
      </c>
      <c r="W60" s="37">
        <f t="shared" si="33"/>
        <v>0.16666666666666663</v>
      </c>
      <c r="X60" s="40">
        <f t="shared" si="34"/>
        <v>0.83333333333333337</v>
      </c>
      <c r="Y60" s="39">
        <f t="shared" si="35"/>
        <v>0.30096308186195819</v>
      </c>
      <c r="Z60" s="37">
        <f t="shared" si="28"/>
        <v>0.36903824196190693</v>
      </c>
      <c r="AA60" s="37">
        <f t="shared" si="29"/>
        <v>0.23519197042524578</v>
      </c>
      <c r="AB60" s="37">
        <v>0</v>
      </c>
      <c r="AC60" s="37">
        <f t="shared" si="36"/>
        <v>1.2722510479077229E-2</v>
      </c>
      <c r="AD60" s="40">
        <f t="shared" si="19"/>
        <v>1.2722510479077229E-2</v>
      </c>
      <c r="AE60" s="39">
        <f t="shared" si="27"/>
        <v>3.6426116838487968E-2</v>
      </c>
      <c r="AF60" s="37">
        <f t="shared" si="20"/>
        <v>9.6016719856933996E-2</v>
      </c>
      <c r="AG60" s="37">
        <f t="shared" si="37"/>
        <v>4.2408368263590735E-5</v>
      </c>
      <c r="AH60" s="37">
        <f t="shared" si="38"/>
        <v>0.10634398969499521</v>
      </c>
      <c r="AI60" s="40">
        <f t="shared" si="21"/>
        <v>0.10638639806325881</v>
      </c>
      <c r="AJ60" s="39">
        <f t="shared" si="22"/>
        <v>0.18213058419243988</v>
      </c>
      <c r="AK60" s="37">
        <f t="shared" si="39"/>
        <v>0.21469991257665832</v>
      </c>
      <c r="AL60" s="37">
        <f t="shared" si="40"/>
        <v>7.9500000000000001E-2</v>
      </c>
      <c r="AM60" s="37">
        <f t="shared" si="41"/>
        <v>0.2423025</v>
      </c>
      <c r="AN60" s="40">
        <f t="shared" si="23"/>
        <v>0.32180249999999999</v>
      </c>
      <c r="AO60" s="39">
        <f t="shared" si="42"/>
        <v>5.5315262952509655E-4</v>
      </c>
      <c r="AP60" s="37">
        <f t="shared" si="43"/>
        <v>0.11834775000000002</v>
      </c>
      <c r="AQ60" s="40">
        <f t="shared" si="44"/>
        <v>2.0250000000000001E-2</v>
      </c>
      <c r="AR60" s="39">
        <f t="shared" si="24"/>
        <v>0.58006231117186113</v>
      </c>
      <c r="AS60" s="37">
        <f t="shared" si="25"/>
        <v>9.5399999999999991</v>
      </c>
      <c r="AT60" s="40">
        <f t="shared" si="26"/>
        <v>94.268194272563804</v>
      </c>
    </row>
    <row r="61" spans="17:46" x14ac:dyDescent="0.3">
      <c r="Q61">
        <v>54</v>
      </c>
      <c r="R61" s="39">
        <f t="shared" si="0"/>
        <v>54</v>
      </c>
      <c r="S61" s="37">
        <f t="shared" si="30"/>
        <v>0.18000000000000002</v>
      </c>
      <c r="T61" s="37">
        <f t="shared" si="2"/>
        <v>45</v>
      </c>
      <c r="U61" s="40">
        <f t="shared" si="31"/>
        <v>0.22268041237113403</v>
      </c>
      <c r="V61" s="39">
        <f t="shared" si="32"/>
        <v>2</v>
      </c>
      <c r="W61" s="37">
        <f t="shared" si="33"/>
        <v>0.16666666666666663</v>
      </c>
      <c r="X61" s="40">
        <f t="shared" si="34"/>
        <v>0.83333333333333337</v>
      </c>
      <c r="Y61" s="39">
        <f t="shared" si="35"/>
        <v>0.30096308186195819</v>
      </c>
      <c r="Z61" s="37">
        <f t="shared" si="28"/>
        <v>0.3731619533021131</v>
      </c>
      <c r="AA61" s="37">
        <f t="shared" si="29"/>
        <v>0.23902886319598649</v>
      </c>
      <c r="AB61" s="37">
        <v>0</v>
      </c>
      <c r="AC61" s="37">
        <f t="shared" si="36"/>
        <v>1.3141003411376093E-2</v>
      </c>
      <c r="AD61" s="40">
        <f t="shared" si="19"/>
        <v>1.3141003411376093E-2</v>
      </c>
      <c r="AE61" s="39">
        <f t="shared" si="27"/>
        <v>3.7113402061855663E-2</v>
      </c>
      <c r="AF61" s="37">
        <f t="shared" si="20"/>
        <v>9.7583124771282045E-2</v>
      </c>
      <c r="AG61" s="37">
        <f t="shared" si="37"/>
        <v>4.3803344704586964E-5</v>
      </c>
      <c r="AH61" s="37">
        <f t="shared" si="38"/>
        <v>0.10835048006659888</v>
      </c>
      <c r="AI61" s="40">
        <f t="shared" si="21"/>
        <v>0.10839428341130347</v>
      </c>
      <c r="AJ61" s="39">
        <f t="shared" si="22"/>
        <v>0.18556701030927836</v>
      </c>
      <c r="AK61" s="37">
        <f t="shared" si="39"/>
        <v>0.2182025004454303</v>
      </c>
      <c r="AL61" s="37">
        <f t="shared" si="40"/>
        <v>8.1000000000000016E-2</v>
      </c>
      <c r="AM61" s="37">
        <f t="shared" si="41"/>
        <v>0.2423025</v>
      </c>
      <c r="AN61" s="40">
        <f t="shared" si="23"/>
        <v>0.32330250000000005</v>
      </c>
      <c r="AO61" s="39">
        <f t="shared" si="42"/>
        <v>5.7134797440765595E-4</v>
      </c>
      <c r="AP61" s="37">
        <f t="shared" si="43"/>
        <v>0.11834775000000002</v>
      </c>
      <c r="AQ61" s="40">
        <f t="shared" si="44"/>
        <v>2.0250000000000001E-2</v>
      </c>
      <c r="AR61" s="39">
        <f t="shared" si="24"/>
        <v>0.58400688479708729</v>
      </c>
      <c r="AS61" s="37">
        <f t="shared" si="25"/>
        <v>9.7200000000000006</v>
      </c>
      <c r="AT61" s="40">
        <f t="shared" si="26"/>
        <v>94.332235106919882</v>
      </c>
    </row>
    <row r="62" spans="17:46" x14ac:dyDescent="0.3">
      <c r="Q62">
        <v>55</v>
      </c>
      <c r="R62" s="39">
        <f t="shared" si="0"/>
        <v>54</v>
      </c>
      <c r="S62" s="37">
        <f t="shared" si="30"/>
        <v>0.18333333333333335</v>
      </c>
      <c r="T62" s="37">
        <f t="shared" si="2"/>
        <v>45</v>
      </c>
      <c r="U62" s="40">
        <f t="shared" si="31"/>
        <v>0.22680412371134023</v>
      </c>
      <c r="V62" s="39">
        <f t="shared" si="32"/>
        <v>2</v>
      </c>
      <c r="W62" s="37">
        <f t="shared" si="33"/>
        <v>0.16666666666666663</v>
      </c>
      <c r="X62" s="40">
        <f t="shared" si="34"/>
        <v>0.83333333333333337</v>
      </c>
      <c r="Y62" s="39">
        <f t="shared" si="35"/>
        <v>0.30096308186195819</v>
      </c>
      <c r="Z62" s="37">
        <f t="shared" si="28"/>
        <v>0.37728566464231933</v>
      </c>
      <c r="AA62" s="37">
        <f t="shared" si="29"/>
        <v>0.24287515706522197</v>
      </c>
      <c r="AB62" s="37">
        <v>0</v>
      </c>
      <c r="AC62" s="37">
        <f t="shared" si="36"/>
        <v>1.3567318641474937E-2</v>
      </c>
      <c r="AD62" s="40">
        <f t="shared" si="19"/>
        <v>1.3567318641474937E-2</v>
      </c>
      <c r="AE62" s="39">
        <f t="shared" si="27"/>
        <v>3.7800687285223365E-2</v>
      </c>
      <c r="AF62" s="37">
        <f t="shared" si="20"/>
        <v>9.9153367668019077E-2</v>
      </c>
      <c r="AG62" s="37">
        <f t="shared" si="37"/>
        <v>4.5224395471583106E-5</v>
      </c>
      <c r="AH62" s="37">
        <f t="shared" si="38"/>
        <v>0.11035697043820257</v>
      </c>
      <c r="AI62" s="40">
        <f t="shared" si="21"/>
        <v>0.11040219483367415</v>
      </c>
      <c r="AJ62" s="39">
        <f t="shared" si="22"/>
        <v>0.18900343642611686</v>
      </c>
      <c r="AK62" s="37">
        <f t="shared" si="39"/>
        <v>0.22171367030372047</v>
      </c>
      <c r="AL62" s="37">
        <f t="shared" si="40"/>
        <v>8.2500000000000004E-2</v>
      </c>
      <c r="AM62" s="37">
        <f t="shared" si="41"/>
        <v>0.2423025</v>
      </c>
      <c r="AN62" s="40">
        <f t="shared" si="23"/>
        <v>0.32480249999999999</v>
      </c>
      <c r="AO62" s="39">
        <f t="shared" si="42"/>
        <v>5.8988341919456223E-4</v>
      </c>
      <c r="AP62" s="37">
        <f t="shared" si="43"/>
        <v>0.11834775000000002</v>
      </c>
      <c r="AQ62" s="40">
        <f t="shared" si="44"/>
        <v>2.0250000000000001E-2</v>
      </c>
      <c r="AR62" s="39">
        <f t="shared" si="24"/>
        <v>0.58795964689434366</v>
      </c>
      <c r="AS62" s="37">
        <f t="shared" si="25"/>
        <v>9.9</v>
      </c>
      <c r="AT62" s="40">
        <f t="shared" si="26"/>
        <v>94.393955862821727</v>
      </c>
    </row>
    <row r="63" spans="17:46" x14ac:dyDescent="0.3">
      <c r="Q63">
        <v>56</v>
      </c>
      <c r="R63" s="39">
        <f t="shared" si="0"/>
        <v>54</v>
      </c>
      <c r="S63" s="37">
        <f t="shared" si="30"/>
        <v>0.18666666666666668</v>
      </c>
      <c r="T63" s="37">
        <f t="shared" si="2"/>
        <v>45</v>
      </c>
      <c r="U63" s="40">
        <f t="shared" si="31"/>
        <v>0.2309278350515464</v>
      </c>
      <c r="V63" s="39">
        <f t="shared" si="32"/>
        <v>2</v>
      </c>
      <c r="W63" s="37">
        <f t="shared" si="33"/>
        <v>0.16666666666666663</v>
      </c>
      <c r="X63" s="40">
        <f t="shared" si="34"/>
        <v>0.83333333333333337</v>
      </c>
      <c r="Y63" s="39">
        <f t="shared" si="35"/>
        <v>0.30096308186195819</v>
      </c>
      <c r="Z63" s="37">
        <f t="shared" si="28"/>
        <v>0.3814093759825255</v>
      </c>
      <c r="AA63" s="37">
        <f t="shared" si="29"/>
        <v>0.24673041237063081</v>
      </c>
      <c r="AB63" s="37">
        <v>0</v>
      </c>
      <c r="AC63" s="37">
        <f t="shared" si="36"/>
        <v>1.4001456169373754E-2</v>
      </c>
      <c r="AD63" s="40">
        <f t="shared" si="19"/>
        <v>1.4001456169373754E-2</v>
      </c>
      <c r="AE63" s="39">
        <f t="shared" si="27"/>
        <v>3.848797250859106E-2</v>
      </c>
      <c r="AF63" s="37">
        <f t="shared" si="20"/>
        <v>0.10072726905575398</v>
      </c>
      <c r="AG63" s="37">
        <f t="shared" si="37"/>
        <v>4.6671520564579162E-5</v>
      </c>
      <c r="AH63" s="37">
        <f t="shared" si="38"/>
        <v>0.11236346080980625</v>
      </c>
      <c r="AI63" s="40">
        <f t="shared" si="21"/>
        <v>0.11241013233037082</v>
      </c>
      <c r="AJ63" s="39">
        <f t="shared" si="22"/>
        <v>0.19243986254295534</v>
      </c>
      <c r="AK63" s="37">
        <f t="shared" si="39"/>
        <v>0.225233020796577</v>
      </c>
      <c r="AL63" s="37">
        <f t="shared" si="40"/>
        <v>8.4000000000000005E-2</v>
      </c>
      <c r="AM63" s="37">
        <f t="shared" si="41"/>
        <v>0.2423025</v>
      </c>
      <c r="AN63" s="40">
        <f t="shared" si="23"/>
        <v>0.3263025</v>
      </c>
      <c r="AO63" s="39">
        <f t="shared" si="42"/>
        <v>6.0875896388581517E-4</v>
      </c>
      <c r="AP63" s="37">
        <f t="shared" si="43"/>
        <v>0.11834775000000002</v>
      </c>
      <c r="AQ63" s="40">
        <f t="shared" si="44"/>
        <v>2.0250000000000001E-2</v>
      </c>
      <c r="AR63" s="39">
        <f t="shared" si="24"/>
        <v>0.59192059746363035</v>
      </c>
      <c r="AS63" s="37">
        <f t="shared" si="25"/>
        <v>10.08</v>
      </c>
      <c r="AT63" s="40">
        <f t="shared" si="26"/>
        <v>94.453476372338159</v>
      </c>
    </row>
    <row r="64" spans="17:46" x14ac:dyDescent="0.3">
      <c r="Q64">
        <v>57</v>
      </c>
      <c r="R64" s="39">
        <f t="shared" si="0"/>
        <v>54</v>
      </c>
      <c r="S64" s="37">
        <f t="shared" si="30"/>
        <v>0.19</v>
      </c>
      <c r="T64" s="37">
        <f t="shared" si="2"/>
        <v>45</v>
      </c>
      <c r="U64" s="40">
        <f t="shared" si="31"/>
        <v>0.23505154639175257</v>
      </c>
      <c r="V64" s="39">
        <f t="shared" si="32"/>
        <v>2</v>
      </c>
      <c r="W64" s="37">
        <f t="shared" si="33"/>
        <v>0.16666666666666663</v>
      </c>
      <c r="X64" s="40">
        <f t="shared" si="34"/>
        <v>0.83333333333333337</v>
      </c>
      <c r="Y64" s="39">
        <f t="shared" si="35"/>
        <v>0.30096308186195819</v>
      </c>
      <c r="Z64" s="37">
        <f t="shared" si="28"/>
        <v>0.38553308732273167</v>
      </c>
      <c r="AA64" s="37">
        <f t="shared" si="29"/>
        <v>0.25059421551213334</v>
      </c>
      <c r="AB64" s="37">
        <v>0</v>
      </c>
      <c r="AC64" s="37">
        <f t="shared" si="36"/>
        <v>1.4443415995072552E-2</v>
      </c>
      <c r="AD64" s="40">
        <f t="shared" si="19"/>
        <v>1.4443415995072552E-2</v>
      </c>
      <c r="AE64" s="39">
        <f t="shared" si="27"/>
        <v>3.9175257731958756E-2</v>
      </c>
      <c r="AF64" s="37">
        <f t="shared" si="20"/>
        <v>0.10230466008296128</v>
      </c>
      <c r="AG64" s="37">
        <f t="shared" si="37"/>
        <v>4.8144719983575152E-5</v>
      </c>
      <c r="AH64" s="37">
        <f t="shared" si="38"/>
        <v>0.11436995118140991</v>
      </c>
      <c r="AI64" s="40">
        <f t="shared" si="21"/>
        <v>0.11441809590139349</v>
      </c>
      <c r="AJ64" s="39">
        <f t="shared" si="22"/>
        <v>0.19587628865979381</v>
      </c>
      <c r="AK64" s="37">
        <f t="shared" si="39"/>
        <v>0.22876017436051072</v>
      </c>
      <c r="AL64" s="37">
        <f t="shared" si="40"/>
        <v>8.5500000000000007E-2</v>
      </c>
      <c r="AM64" s="37">
        <f t="shared" si="41"/>
        <v>0.2423025</v>
      </c>
      <c r="AN64" s="40">
        <f t="shared" si="23"/>
        <v>0.3278025</v>
      </c>
      <c r="AO64" s="39">
        <f t="shared" si="42"/>
        <v>6.27974608481415E-4</v>
      </c>
      <c r="AP64" s="37">
        <f t="shared" si="43"/>
        <v>0.11834775000000002</v>
      </c>
      <c r="AQ64" s="40">
        <f t="shared" si="44"/>
        <v>2.0250000000000001E-2</v>
      </c>
      <c r="AR64" s="39">
        <f t="shared" si="24"/>
        <v>0.59588973650494748</v>
      </c>
      <c r="AS64" s="37">
        <f t="shared" si="25"/>
        <v>10.26</v>
      </c>
      <c r="AT64" s="40">
        <f t="shared" si="26"/>
        <v>94.510908355110161</v>
      </c>
    </row>
    <row r="65" spans="17:46" x14ac:dyDescent="0.3">
      <c r="Q65">
        <v>58</v>
      </c>
      <c r="R65" s="39">
        <f t="shared" si="0"/>
        <v>54</v>
      </c>
      <c r="S65" s="37">
        <f t="shared" si="30"/>
        <v>0.19333333333333336</v>
      </c>
      <c r="T65" s="37">
        <f t="shared" si="2"/>
        <v>45</v>
      </c>
      <c r="U65" s="40">
        <f t="shared" si="31"/>
        <v>0.2391752577319588</v>
      </c>
      <c r="V65" s="39">
        <f t="shared" si="32"/>
        <v>2</v>
      </c>
      <c r="W65" s="37">
        <f t="shared" si="33"/>
        <v>0.16666666666666663</v>
      </c>
      <c r="X65" s="40">
        <f t="shared" si="34"/>
        <v>0.83333333333333337</v>
      </c>
      <c r="Y65" s="39">
        <f t="shared" si="35"/>
        <v>0.30096308186195819</v>
      </c>
      <c r="Z65" s="37">
        <f t="shared" si="28"/>
        <v>0.3896567986629379</v>
      </c>
      <c r="AA65" s="37">
        <f t="shared" si="29"/>
        <v>0.25446617712013558</v>
      </c>
      <c r="AB65" s="37">
        <v>0</v>
      </c>
      <c r="AC65" s="37">
        <f t="shared" si="36"/>
        <v>1.489319811857133E-2</v>
      </c>
      <c r="AD65" s="40">
        <f t="shared" si="19"/>
        <v>1.489319811857133E-2</v>
      </c>
      <c r="AE65" s="39">
        <f t="shared" si="27"/>
        <v>3.9862542955326458E-2</v>
      </c>
      <c r="AF65" s="37">
        <f t="shared" si="20"/>
        <v>0.10388538179016994</v>
      </c>
      <c r="AG65" s="37">
        <f t="shared" si="37"/>
        <v>4.9643993728571116E-5</v>
      </c>
      <c r="AH65" s="37">
        <f t="shared" si="38"/>
        <v>0.11637644155301365</v>
      </c>
      <c r="AI65" s="40">
        <f t="shared" si="21"/>
        <v>0.11642608554674222</v>
      </c>
      <c r="AJ65" s="39">
        <f t="shared" si="22"/>
        <v>0.19931271477663234</v>
      </c>
      <c r="AK65" s="37">
        <f t="shared" si="39"/>
        <v>0.23229477555133879</v>
      </c>
      <c r="AL65" s="37">
        <f t="shared" si="40"/>
        <v>8.7000000000000008E-2</v>
      </c>
      <c r="AM65" s="37">
        <f t="shared" si="41"/>
        <v>0.2423025</v>
      </c>
      <c r="AN65" s="40">
        <f t="shared" si="23"/>
        <v>0.3293025</v>
      </c>
      <c r="AO65" s="39">
        <f t="shared" si="42"/>
        <v>6.4753035298136235E-4</v>
      </c>
      <c r="AP65" s="37">
        <f t="shared" si="43"/>
        <v>0.11834775000000002</v>
      </c>
      <c r="AQ65" s="40">
        <f t="shared" si="44"/>
        <v>2.0250000000000001E-2</v>
      </c>
      <c r="AR65" s="39">
        <f t="shared" si="24"/>
        <v>0.59986706401829493</v>
      </c>
      <c r="AS65" s="37">
        <f t="shared" si="25"/>
        <v>10.440000000000001</v>
      </c>
      <c r="AT65" s="40">
        <f t="shared" si="26"/>
        <v>94.566356093422428</v>
      </c>
    </row>
    <row r="66" spans="17:46" x14ac:dyDescent="0.3">
      <c r="Q66">
        <v>59</v>
      </c>
      <c r="R66" s="39">
        <f t="shared" si="0"/>
        <v>54</v>
      </c>
      <c r="S66" s="37">
        <f t="shared" si="30"/>
        <v>0.19666666666666668</v>
      </c>
      <c r="T66" s="37">
        <f t="shared" si="2"/>
        <v>45</v>
      </c>
      <c r="U66" s="40">
        <f t="shared" si="31"/>
        <v>0.24329896907216497</v>
      </c>
      <c r="V66" s="39">
        <f t="shared" si="32"/>
        <v>2</v>
      </c>
      <c r="W66" s="37">
        <f t="shared" si="33"/>
        <v>0.16666666666666663</v>
      </c>
      <c r="X66" s="40">
        <f t="shared" si="34"/>
        <v>0.83333333333333337</v>
      </c>
      <c r="Y66" s="39">
        <f t="shared" si="35"/>
        <v>0.30096308186195819</v>
      </c>
      <c r="Z66" s="37">
        <f t="shared" si="28"/>
        <v>0.39378051000314407</v>
      </c>
      <c r="AA66" s="37">
        <f t="shared" si="29"/>
        <v>0.25834593036966075</v>
      </c>
      <c r="AB66" s="37">
        <v>0</v>
      </c>
      <c r="AC66" s="37">
        <f t="shared" si="36"/>
        <v>1.5350802539870088E-2</v>
      </c>
      <c r="AD66" s="40">
        <f t="shared" si="19"/>
        <v>1.5350802539870088E-2</v>
      </c>
      <c r="AE66" s="39">
        <f t="shared" si="27"/>
        <v>4.0549828178694153E-2</v>
      </c>
      <c r="AF66" s="37">
        <f t="shared" si="20"/>
        <v>0.10546928442171018</v>
      </c>
      <c r="AG66" s="37">
        <f t="shared" si="37"/>
        <v>5.1169341799566946E-5</v>
      </c>
      <c r="AH66" s="37">
        <f t="shared" si="38"/>
        <v>0.11838293192461731</v>
      </c>
      <c r="AI66" s="40">
        <f t="shared" si="21"/>
        <v>0.11843410126641687</v>
      </c>
      <c r="AJ66" s="39">
        <f t="shared" si="22"/>
        <v>0.20274914089347082</v>
      </c>
      <c r="AK66" s="37">
        <f t="shared" si="39"/>
        <v>0.23583648950520358</v>
      </c>
      <c r="AL66" s="37">
        <f t="shared" si="40"/>
        <v>8.8500000000000009E-2</v>
      </c>
      <c r="AM66" s="37">
        <f t="shared" si="41"/>
        <v>0.2423025</v>
      </c>
      <c r="AN66" s="40">
        <f t="shared" si="23"/>
        <v>0.3308025</v>
      </c>
      <c r="AO66" s="39">
        <f t="shared" si="42"/>
        <v>6.6742619738565582E-4</v>
      </c>
      <c r="AP66" s="37">
        <f t="shared" si="43"/>
        <v>0.11834775000000002</v>
      </c>
      <c r="AQ66" s="40">
        <f t="shared" si="44"/>
        <v>2.0250000000000001E-2</v>
      </c>
      <c r="AR66" s="39">
        <f t="shared" si="24"/>
        <v>0.60385258000367259</v>
      </c>
      <c r="AS66" s="37">
        <f t="shared" si="25"/>
        <v>10.620000000000001</v>
      </c>
      <c r="AT66" s="40">
        <f t="shared" si="26"/>
        <v>94.619917040967806</v>
      </c>
    </row>
    <row r="67" spans="17:46" x14ac:dyDescent="0.3">
      <c r="Q67">
        <v>60</v>
      </c>
      <c r="R67" s="39">
        <f t="shared" si="0"/>
        <v>54</v>
      </c>
      <c r="S67" s="37">
        <f t="shared" si="30"/>
        <v>0.2</v>
      </c>
      <c r="T67" s="37">
        <f t="shared" si="2"/>
        <v>45</v>
      </c>
      <c r="U67" s="40">
        <f t="shared" si="31"/>
        <v>0.24742268041237117</v>
      </c>
      <c r="V67" s="39">
        <f t="shared" si="32"/>
        <v>2</v>
      </c>
      <c r="W67" s="37">
        <f t="shared" si="33"/>
        <v>0.16666666666666663</v>
      </c>
      <c r="X67" s="40">
        <f t="shared" si="34"/>
        <v>0.83333333333333337</v>
      </c>
      <c r="Y67" s="39">
        <f t="shared" si="35"/>
        <v>0.30096308186195819</v>
      </c>
      <c r="Z67" s="37">
        <f t="shared" si="28"/>
        <v>0.39790422134335024</v>
      </c>
      <c r="AA67" s="37">
        <f t="shared" si="29"/>
        <v>0.26223312942767102</v>
      </c>
      <c r="AB67" s="37">
        <v>0</v>
      </c>
      <c r="AC67" s="37">
        <f t="shared" si="36"/>
        <v>1.5816229258968823E-2</v>
      </c>
      <c r="AD67" s="40">
        <f t="shared" si="19"/>
        <v>1.5816229258968823E-2</v>
      </c>
      <c r="AE67" s="39">
        <f t="shared" si="27"/>
        <v>4.1237113402061855E-2</v>
      </c>
      <c r="AF67" s="37">
        <f t="shared" si="20"/>
        <v>0.10705622679183562</v>
      </c>
      <c r="AG67" s="37">
        <f t="shared" si="37"/>
        <v>5.2720764196562737E-5</v>
      </c>
      <c r="AH67" s="37">
        <f t="shared" si="38"/>
        <v>0.12038942229622099</v>
      </c>
      <c r="AI67" s="40">
        <f t="shared" si="21"/>
        <v>0.12044214306041755</v>
      </c>
      <c r="AJ67" s="39">
        <f t="shared" si="22"/>
        <v>0.20618556701030932</v>
      </c>
      <c r="AK67" s="37">
        <f t="shared" si="39"/>
        <v>0.23938500052117867</v>
      </c>
      <c r="AL67" s="37">
        <f t="shared" si="40"/>
        <v>9.0000000000000011E-2</v>
      </c>
      <c r="AM67" s="37">
        <f t="shared" si="41"/>
        <v>0.2423025</v>
      </c>
      <c r="AN67" s="40">
        <f t="shared" si="23"/>
        <v>0.3323025</v>
      </c>
      <c r="AO67" s="39">
        <f t="shared" si="42"/>
        <v>6.876621416942965E-4</v>
      </c>
      <c r="AP67" s="37">
        <f t="shared" si="43"/>
        <v>0.11834775000000002</v>
      </c>
      <c r="AQ67" s="40">
        <f t="shared" si="44"/>
        <v>2.0250000000000001E-2</v>
      </c>
      <c r="AR67" s="39">
        <f t="shared" si="24"/>
        <v>0.60784628446108069</v>
      </c>
      <c r="AS67" s="37">
        <f t="shared" si="25"/>
        <v>10.8</v>
      </c>
      <c r="AT67" s="40">
        <f t="shared" si="26"/>
        <v>94.671682372780182</v>
      </c>
    </row>
    <row r="68" spans="17:46" x14ac:dyDescent="0.3">
      <c r="Q68">
        <v>61</v>
      </c>
      <c r="R68" s="39">
        <f t="shared" si="0"/>
        <v>54</v>
      </c>
      <c r="S68" s="37">
        <f t="shared" si="30"/>
        <v>0.20333333333333334</v>
      </c>
      <c r="T68" s="37">
        <f t="shared" si="2"/>
        <v>45</v>
      </c>
      <c r="U68" s="40">
        <f t="shared" si="31"/>
        <v>0.25154639175257731</v>
      </c>
      <c r="V68" s="39">
        <f t="shared" si="32"/>
        <v>2</v>
      </c>
      <c r="W68" s="37">
        <f t="shared" si="33"/>
        <v>0.16666666666666663</v>
      </c>
      <c r="X68" s="40">
        <f t="shared" si="34"/>
        <v>0.83333333333333337</v>
      </c>
      <c r="Y68" s="39">
        <f t="shared" si="35"/>
        <v>0.30096308186195819</v>
      </c>
      <c r="Z68" s="37">
        <f t="shared" si="28"/>
        <v>0.40202793268355641</v>
      </c>
      <c r="AA68" s="37">
        <f t="shared" si="29"/>
        <v>0.26612744802204907</v>
      </c>
      <c r="AB68" s="37">
        <v>0</v>
      </c>
      <c r="AC68" s="37">
        <f t="shared" si="36"/>
        <v>1.628947827586754E-2</v>
      </c>
      <c r="AD68" s="40">
        <f t="shared" si="19"/>
        <v>1.628947827586754E-2</v>
      </c>
      <c r="AE68" s="39">
        <f t="shared" si="27"/>
        <v>4.1924398625429543E-2</v>
      </c>
      <c r="AF68" s="37">
        <f t="shared" si="20"/>
        <v>0.10864607570051206</v>
      </c>
      <c r="AG68" s="37">
        <f t="shared" si="37"/>
        <v>5.4298260919558428E-5</v>
      </c>
      <c r="AH68" s="37">
        <f t="shared" si="38"/>
        <v>0.12239591266782467</v>
      </c>
      <c r="AI68" s="40">
        <f t="shared" si="21"/>
        <v>0.12245021092874422</v>
      </c>
      <c r="AJ68" s="39">
        <f t="shared" si="22"/>
        <v>0.20962199312714777</v>
      </c>
      <c r="AK68" s="37">
        <f t="shared" si="39"/>
        <v>0.2429400107549331</v>
      </c>
      <c r="AL68" s="37">
        <f t="shared" si="40"/>
        <v>9.1499999999999998E-2</v>
      </c>
      <c r="AM68" s="37">
        <f t="shared" si="41"/>
        <v>0.2423025</v>
      </c>
      <c r="AN68" s="40">
        <f t="shared" si="23"/>
        <v>0.3338025</v>
      </c>
      <c r="AO68" s="39">
        <f t="shared" si="42"/>
        <v>7.0823818590728385E-4</v>
      </c>
      <c r="AP68" s="37">
        <f t="shared" si="43"/>
        <v>0.11834775000000002</v>
      </c>
      <c r="AQ68" s="40">
        <f t="shared" si="44"/>
        <v>2.0250000000000001E-2</v>
      </c>
      <c r="AR68" s="39">
        <f t="shared" si="24"/>
        <v>0.611848177390519</v>
      </c>
      <c r="AS68" s="37">
        <f t="shared" si="25"/>
        <v>10.98</v>
      </c>
      <c r="AT68" s="40">
        <f t="shared" si="26"/>
        <v>94.721737482863972</v>
      </c>
    </row>
    <row r="69" spans="17:46" x14ac:dyDescent="0.3">
      <c r="Q69">
        <v>62</v>
      </c>
      <c r="R69" s="39">
        <f t="shared" si="0"/>
        <v>54</v>
      </c>
      <c r="S69" s="37">
        <f t="shared" si="30"/>
        <v>0.20666666666666669</v>
      </c>
      <c r="T69" s="37">
        <f t="shared" si="2"/>
        <v>45</v>
      </c>
      <c r="U69" s="40">
        <f t="shared" si="31"/>
        <v>0.25567010309278354</v>
      </c>
      <c r="V69" s="39">
        <f t="shared" si="32"/>
        <v>2</v>
      </c>
      <c r="W69" s="37">
        <f t="shared" si="33"/>
        <v>0.16666666666666663</v>
      </c>
      <c r="X69" s="40">
        <f t="shared" si="34"/>
        <v>0.83333333333333337</v>
      </c>
      <c r="Y69" s="39">
        <f t="shared" si="35"/>
        <v>0.30096308186195819</v>
      </c>
      <c r="Z69" s="37">
        <f t="shared" si="28"/>
        <v>0.40615164402376264</v>
      </c>
      <c r="AA69" s="37">
        <f t="shared" si="29"/>
        <v>0.27002857812176451</v>
      </c>
      <c r="AB69" s="37">
        <v>0</v>
      </c>
      <c r="AC69" s="37">
        <f t="shared" si="36"/>
        <v>1.6770549590566234E-2</v>
      </c>
      <c r="AD69" s="40">
        <f t="shared" si="19"/>
        <v>1.6770549590566234E-2</v>
      </c>
      <c r="AE69" s="39">
        <f t="shared" si="27"/>
        <v>4.2611683848797245E-2</v>
      </c>
      <c r="AF69" s="37">
        <f t="shared" si="20"/>
        <v>0.11023870539459803</v>
      </c>
      <c r="AG69" s="37">
        <f t="shared" si="37"/>
        <v>5.5901831968554086E-5</v>
      </c>
      <c r="AH69" s="37">
        <f t="shared" si="38"/>
        <v>0.12440240303942836</v>
      </c>
      <c r="AI69" s="40">
        <f t="shared" si="21"/>
        <v>0.12445830487139692</v>
      </c>
      <c r="AJ69" s="39">
        <f t="shared" si="22"/>
        <v>0.2130584192439863</v>
      </c>
      <c r="AK69" s="37">
        <f t="shared" si="39"/>
        <v>0.24650123901389401</v>
      </c>
      <c r="AL69" s="37">
        <f t="shared" si="40"/>
        <v>9.3000000000000013E-2</v>
      </c>
      <c r="AM69" s="37">
        <f t="shared" si="41"/>
        <v>0.2423025</v>
      </c>
      <c r="AN69" s="40">
        <f t="shared" si="23"/>
        <v>0.3353025</v>
      </c>
      <c r="AO69" s="39">
        <f t="shared" si="42"/>
        <v>7.2915433002461851E-4</v>
      </c>
      <c r="AP69" s="37">
        <f t="shared" si="43"/>
        <v>0.11834775000000002</v>
      </c>
      <c r="AQ69" s="40">
        <f t="shared" si="44"/>
        <v>2.0250000000000001E-2</v>
      </c>
      <c r="AR69" s="39">
        <f t="shared" si="24"/>
        <v>0.61585825879198774</v>
      </c>
      <c r="AS69" s="37">
        <f t="shared" si="25"/>
        <v>11.160000000000002</v>
      </c>
      <c r="AT69" s="40">
        <f t="shared" si="26"/>
        <v>94.770162435233274</v>
      </c>
    </row>
    <row r="70" spans="17:46" x14ac:dyDescent="0.3">
      <c r="Q70">
        <v>63</v>
      </c>
      <c r="R70" s="39">
        <f t="shared" si="0"/>
        <v>54</v>
      </c>
      <c r="S70" s="37">
        <f t="shared" si="30"/>
        <v>0.21000000000000002</v>
      </c>
      <c r="T70" s="37">
        <f t="shared" si="2"/>
        <v>45</v>
      </c>
      <c r="U70" s="40">
        <f t="shared" si="31"/>
        <v>0.25979381443298971</v>
      </c>
      <c r="V70" s="39">
        <f t="shared" si="32"/>
        <v>2</v>
      </c>
      <c r="W70" s="37">
        <f t="shared" si="33"/>
        <v>0.16666666666666663</v>
      </c>
      <c r="X70" s="40">
        <f t="shared" si="34"/>
        <v>0.83333333333333337</v>
      </c>
      <c r="Y70" s="39">
        <f t="shared" si="35"/>
        <v>0.30096308186195819</v>
      </c>
      <c r="Z70" s="37">
        <f t="shared" si="28"/>
        <v>0.41027535536396881</v>
      </c>
      <c r="AA70" s="37">
        <f t="shared" si="29"/>
        <v>0.27393622871871115</v>
      </c>
      <c r="AB70" s="37">
        <v>0</v>
      </c>
      <c r="AC70" s="37">
        <f t="shared" si="36"/>
        <v>1.7259443203064908E-2</v>
      </c>
      <c r="AD70" s="40">
        <f t="shared" si="19"/>
        <v>1.7259443203064908E-2</v>
      </c>
      <c r="AE70" s="39">
        <f t="shared" si="27"/>
        <v>4.329896907216494E-2</v>
      </c>
      <c r="AF70" s="37">
        <f t="shared" si="20"/>
        <v>0.11183399707053159</v>
      </c>
      <c r="AG70" s="37">
        <f t="shared" si="37"/>
        <v>5.7531477343549672E-5</v>
      </c>
      <c r="AH70" s="37">
        <f t="shared" si="38"/>
        <v>0.12640889341103204</v>
      </c>
      <c r="AI70" s="40">
        <f t="shared" si="21"/>
        <v>0.12646642488837559</v>
      </c>
      <c r="AJ70" s="39">
        <f t="shared" si="22"/>
        <v>0.21649484536082478</v>
      </c>
      <c r="AK70" s="37">
        <f t="shared" si="39"/>
        <v>0.25006841964522097</v>
      </c>
      <c r="AL70" s="37">
        <f t="shared" si="40"/>
        <v>9.4500000000000015E-2</v>
      </c>
      <c r="AM70" s="37">
        <f t="shared" si="41"/>
        <v>0.2423025</v>
      </c>
      <c r="AN70" s="40">
        <f t="shared" si="23"/>
        <v>0.3368025</v>
      </c>
      <c r="AO70" s="39">
        <f t="shared" si="42"/>
        <v>7.5041057404630004E-4</v>
      </c>
      <c r="AP70" s="37">
        <f t="shared" si="43"/>
        <v>0.11834775000000002</v>
      </c>
      <c r="AQ70" s="40">
        <f t="shared" si="44"/>
        <v>2.0250000000000001E-2</v>
      </c>
      <c r="AR70" s="39">
        <f t="shared" si="24"/>
        <v>0.61987652866548681</v>
      </c>
      <c r="AS70" s="37">
        <f t="shared" si="25"/>
        <v>11.340000000000002</v>
      </c>
      <c r="AT70" s="40">
        <f t="shared" si="26"/>
        <v>94.81703237337139</v>
      </c>
    </row>
    <row r="71" spans="17:46" x14ac:dyDescent="0.3">
      <c r="Q71">
        <v>64</v>
      </c>
      <c r="R71" s="39">
        <f t="shared" ref="R71:R134" si="45">VOUT</f>
        <v>54</v>
      </c>
      <c r="S71" s="37">
        <f t="shared" ref="S71:S102" si="46">Q71*$O$12</f>
        <v>0.21333333333333335</v>
      </c>
      <c r="T71" s="37">
        <f t="shared" ref="T71:T134" si="47">VIN_var</f>
        <v>45</v>
      </c>
      <c r="U71" s="40">
        <f t="shared" ref="U71:U102" si="48">(R71*S71)/(T71*EFF_est)</f>
        <v>0.26391752577319594</v>
      </c>
      <c r="V71" s="39">
        <f t="shared" ref="V71:V102" si="49">IF((S71*R71/T71)&lt;((T71*(1-(T71/R71)))/(2*Lm*Fsw)),1,2)</f>
        <v>2</v>
      </c>
      <c r="W71" s="37">
        <f t="shared" ref="W71:W102" si="50">CHOOSE(V71,SQRT((2*S71*Lm*Fsw*(R71-T71))/((T71)^2)),1-(T71/R71))</f>
        <v>0.16666666666666663</v>
      </c>
      <c r="X71" s="40">
        <f t="shared" ref="X71:X102" si="51">CHOOSE(V71,(Lm*W71*Fsw)/(R71-T71),1-W71)</f>
        <v>0.83333333333333337</v>
      </c>
      <c r="Y71" s="39">
        <f t="shared" ref="Y71:Y102" si="52">(T71*W71)/(Lm*Fsw)</f>
        <v>0.30096308186195819</v>
      </c>
      <c r="Z71" s="37">
        <f t="shared" si="28"/>
        <v>0.41439906670417503</v>
      </c>
      <c r="AA71" s="37">
        <f t="shared" si="29"/>
        <v>0.27785012470256848</v>
      </c>
      <c r="AB71" s="37">
        <v>0</v>
      </c>
      <c r="AC71" s="37">
        <f t="shared" ref="AC71:AC102" si="53">(AA71^2)*Rdcr</f>
        <v>1.7756159113363555E-2</v>
      </c>
      <c r="AD71" s="40">
        <f t="shared" si="19"/>
        <v>1.7756159113363555E-2</v>
      </c>
      <c r="AE71" s="39">
        <f t="shared" si="27"/>
        <v>4.3986254295532649E-2</v>
      </c>
      <c r="AF71" s="37">
        <f t="shared" si="20"/>
        <v>0.11343183841499473</v>
      </c>
      <c r="AG71" s="37">
        <f t="shared" ref="AG71:AG102" si="54">(AF71^2)*RDS_on</f>
        <v>5.9187197044545178E-5</v>
      </c>
      <c r="AH71" s="37">
        <f t="shared" ref="AH71:AH102" si="55">((R71*U71)/2)*Fsw*(tr_sw+tf_sw)</f>
        <v>0.12841538378263573</v>
      </c>
      <c r="AI71" s="40">
        <f t="shared" si="21"/>
        <v>0.12847457097968026</v>
      </c>
      <c r="AJ71" s="39">
        <f t="shared" si="22"/>
        <v>0.21993127147766328</v>
      </c>
      <c r="AK71" s="37">
        <f t="shared" ref="AK71:AK102" si="56">CHOOSE(V71,Z71*SQRT(X71/3),SQRT(X71*((Z71^2)+((Y71^2)/3)-(Y71*Z71))))</f>
        <v>0.25364130150870029</v>
      </c>
      <c r="AL71" s="37">
        <f t="shared" ref="AL71:AL102" si="57">S71*Vd_rect</f>
        <v>9.6000000000000002E-2</v>
      </c>
      <c r="AM71" s="37">
        <f t="shared" ref="AM71:AM102" si="58">CHOOSE(V71,(R71+Vd_rect)*Qrr*Fsw,(R71+Vd_rect)*Qrr*Fsw)</f>
        <v>0.2423025</v>
      </c>
      <c r="AN71" s="40">
        <f t="shared" si="23"/>
        <v>0.33830250000000001</v>
      </c>
      <c r="AO71" s="39">
        <f t="shared" ref="AO71:AO102" si="59">(AF71^2)*R_cs</f>
        <v>7.7200691797232846E-4</v>
      </c>
      <c r="AP71" s="37">
        <f t="shared" ref="AP71:AP102" si="60">Qg_tot*Vcc*Fsw</f>
        <v>0.11834775000000002</v>
      </c>
      <c r="AQ71" s="40">
        <f t="shared" ref="AQ71:AQ102" si="61">IQ*T71</f>
        <v>2.0250000000000001E-2</v>
      </c>
      <c r="AR71" s="39">
        <f t="shared" si="24"/>
        <v>0.6239029870110161</v>
      </c>
      <c r="AS71" s="37">
        <f t="shared" si="25"/>
        <v>11.520000000000001</v>
      </c>
      <c r="AT71" s="40">
        <f t="shared" si="26"/>
        <v>94.862417892514983</v>
      </c>
    </row>
    <row r="72" spans="17:46" x14ac:dyDescent="0.3">
      <c r="Q72">
        <v>65</v>
      </c>
      <c r="R72" s="39">
        <f t="shared" si="45"/>
        <v>54</v>
      </c>
      <c r="S72" s="37">
        <f t="shared" si="46"/>
        <v>0.21666666666666667</v>
      </c>
      <c r="T72" s="37">
        <f t="shared" si="47"/>
        <v>45</v>
      </c>
      <c r="U72" s="40">
        <f t="shared" si="48"/>
        <v>0.26804123711340211</v>
      </c>
      <c r="V72" s="39">
        <f t="shared" si="49"/>
        <v>2</v>
      </c>
      <c r="W72" s="37">
        <f t="shared" si="50"/>
        <v>0.16666666666666663</v>
      </c>
      <c r="X72" s="40">
        <f t="shared" si="51"/>
        <v>0.83333333333333337</v>
      </c>
      <c r="Y72" s="39">
        <f t="shared" si="52"/>
        <v>0.30096308186195819</v>
      </c>
      <c r="Z72" s="37">
        <f t="shared" si="28"/>
        <v>0.41852277804438121</v>
      </c>
      <c r="AA72" s="37">
        <f t="shared" si="29"/>
        <v>0.28177000582082962</v>
      </c>
      <c r="AB72" s="37">
        <v>0</v>
      </c>
      <c r="AC72" s="37">
        <f t="shared" si="53"/>
        <v>1.8260697321462183E-2</v>
      </c>
      <c r="AD72" s="40">
        <f t="shared" ref="AD72:AD135" si="62">AB72+AC72</f>
        <v>1.8260697321462183E-2</v>
      </c>
      <c r="AE72" s="39">
        <f t="shared" si="27"/>
        <v>4.4673539518900345E-2</v>
      </c>
      <c r="AF72" s="37">
        <f t="shared" ref="AF72:AF135" si="63">CHOOSE(V72,Z72*SQRT(W72/3),SQRT(W72*((Z72^2)+((Y72^2)/3)-(Z72*Y72))))</f>
        <v>0.11503212318034642</v>
      </c>
      <c r="AG72" s="37">
        <f t="shared" si="54"/>
        <v>6.0868991071540604E-5</v>
      </c>
      <c r="AH72" s="37">
        <f t="shared" si="55"/>
        <v>0.13042187415423942</v>
      </c>
      <c r="AI72" s="40">
        <f t="shared" ref="AI72:AI135" si="64">AG72+AH72</f>
        <v>0.13048274314531097</v>
      </c>
      <c r="AJ72" s="39">
        <f t="shared" ref="AJ72:AJ135" si="65">X72*U72</f>
        <v>0.22336769759450176</v>
      </c>
      <c r="AK72" s="37">
        <f t="shared" si="56"/>
        <v>0.25721964702738392</v>
      </c>
      <c r="AL72" s="37">
        <f t="shared" si="57"/>
        <v>9.7500000000000003E-2</v>
      </c>
      <c r="AM72" s="37">
        <f t="shared" si="58"/>
        <v>0.2423025</v>
      </c>
      <c r="AN72" s="40">
        <f t="shared" ref="AN72:AN135" si="66">AL72+AM72</f>
        <v>0.33980250000000001</v>
      </c>
      <c r="AO72" s="39">
        <f t="shared" si="59"/>
        <v>7.9394336180270354E-4</v>
      </c>
      <c r="AP72" s="37">
        <f t="shared" si="60"/>
        <v>0.11834775000000002</v>
      </c>
      <c r="AQ72" s="40">
        <f t="shared" si="61"/>
        <v>2.0250000000000001E-2</v>
      </c>
      <c r="AR72" s="39">
        <f t="shared" ref="AR72:AR135" si="67">AO72+AN72+AI72+AD72+AP72+AQ72</f>
        <v>0.62793763382857581</v>
      </c>
      <c r="AS72" s="37">
        <f t="shared" ref="AS72:AS135" si="68">R72*S72</f>
        <v>11.700000000000001</v>
      </c>
      <c r="AT72" s="40">
        <f t="shared" ref="AT72:AT135" si="69">(AS72/(AS72+AR72))*100</f>
        <v>94.906385378642085</v>
      </c>
    </row>
    <row r="73" spans="17:46" x14ac:dyDescent="0.3">
      <c r="Q73">
        <v>66</v>
      </c>
      <c r="R73" s="39">
        <f t="shared" si="45"/>
        <v>54</v>
      </c>
      <c r="S73" s="37">
        <f t="shared" si="46"/>
        <v>0.22</v>
      </c>
      <c r="T73" s="37">
        <f t="shared" si="47"/>
        <v>45</v>
      </c>
      <c r="U73" s="40">
        <f t="shared" si="48"/>
        <v>0.27216494845360828</v>
      </c>
      <c r="V73" s="39">
        <f t="shared" si="49"/>
        <v>2</v>
      </c>
      <c r="W73" s="37">
        <f t="shared" si="50"/>
        <v>0.16666666666666663</v>
      </c>
      <c r="X73" s="40">
        <f t="shared" si="51"/>
        <v>0.83333333333333337</v>
      </c>
      <c r="Y73" s="39">
        <f t="shared" si="52"/>
        <v>0.30096308186195819</v>
      </c>
      <c r="Z73" s="37">
        <f t="shared" si="28"/>
        <v>0.42264648938458738</v>
      </c>
      <c r="AA73" s="37">
        <f t="shared" si="29"/>
        <v>0.2856956257168502</v>
      </c>
      <c r="AB73" s="37">
        <v>0</v>
      </c>
      <c r="AC73" s="37">
        <f t="shared" si="53"/>
        <v>1.877305782736079E-2</v>
      </c>
      <c r="AD73" s="40">
        <f t="shared" si="62"/>
        <v>1.877305782736079E-2</v>
      </c>
      <c r="AE73" s="39">
        <f t="shared" ref="AE73:AE136" si="70">U73*W73</f>
        <v>4.536082474226804E-2</v>
      </c>
      <c r="AF73" s="37">
        <f t="shared" si="63"/>
        <v>0.11663475079190774</v>
      </c>
      <c r="AG73" s="37">
        <f t="shared" si="54"/>
        <v>6.2576859424535951E-5</v>
      </c>
      <c r="AH73" s="37">
        <f t="shared" si="55"/>
        <v>0.13242836452584308</v>
      </c>
      <c r="AI73" s="40">
        <f t="shared" si="64"/>
        <v>0.13249094138526762</v>
      </c>
      <c r="AJ73" s="39">
        <f t="shared" si="65"/>
        <v>0.22680412371134023</v>
      </c>
      <c r="AK73" s="37">
        <f t="shared" si="56"/>
        <v>0.26080323130945315</v>
      </c>
      <c r="AL73" s="37">
        <f t="shared" si="57"/>
        <v>9.9000000000000005E-2</v>
      </c>
      <c r="AM73" s="37">
        <f t="shared" si="58"/>
        <v>0.2423025</v>
      </c>
      <c r="AN73" s="40">
        <f t="shared" si="66"/>
        <v>0.34130250000000001</v>
      </c>
      <c r="AO73" s="39">
        <f t="shared" si="59"/>
        <v>8.162199055374254E-4</v>
      </c>
      <c r="AP73" s="37">
        <f t="shared" si="60"/>
        <v>0.11834775000000002</v>
      </c>
      <c r="AQ73" s="40">
        <f t="shared" si="61"/>
        <v>2.0250000000000001E-2</v>
      </c>
      <c r="AR73" s="39">
        <f t="shared" si="67"/>
        <v>0.63198046911816586</v>
      </c>
      <c r="AS73" s="37">
        <f t="shared" si="68"/>
        <v>11.88</v>
      </c>
      <c r="AT73" s="40">
        <f t="shared" si="69"/>
        <v>94.948997317586873</v>
      </c>
    </row>
    <row r="74" spans="17:46" x14ac:dyDescent="0.3">
      <c r="Q74">
        <v>67</v>
      </c>
      <c r="R74" s="39">
        <f t="shared" si="45"/>
        <v>54</v>
      </c>
      <c r="S74" s="37">
        <f t="shared" si="46"/>
        <v>0.22333333333333336</v>
      </c>
      <c r="T74" s="37">
        <f t="shared" si="47"/>
        <v>45</v>
      </c>
      <c r="U74" s="40">
        <f t="shared" si="48"/>
        <v>0.27628865979381445</v>
      </c>
      <c r="V74" s="39">
        <f t="shared" si="49"/>
        <v>2</v>
      </c>
      <c r="W74" s="37">
        <f t="shared" si="50"/>
        <v>0.16666666666666663</v>
      </c>
      <c r="X74" s="40">
        <f t="shared" si="51"/>
        <v>0.83333333333333337</v>
      </c>
      <c r="Y74" s="39">
        <f t="shared" si="52"/>
        <v>0.30096308186195819</v>
      </c>
      <c r="Z74" s="37">
        <f t="shared" si="28"/>
        <v>0.42677020072479355</v>
      </c>
      <c r="AA74" s="37">
        <f t="shared" si="29"/>
        <v>0.28962675103941876</v>
      </c>
      <c r="AB74" s="37">
        <v>0</v>
      </c>
      <c r="AC74" s="37">
        <f t="shared" si="53"/>
        <v>1.9293240631059375E-2</v>
      </c>
      <c r="AD74" s="40">
        <f t="shared" si="62"/>
        <v>1.9293240631059375E-2</v>
      </c>
      <c r="AE74" s="39">
        <f t="shared" si="70"/>
        <v>4.6048109965635735E-2</v>
      </c>
      <c r="AF74" s="37">
        <f t="shared" si="63"/>
        <v>0.11823962598444557</v>
      </c>
      <c r="AG74" s="37">
        <f t="shared" si="54"/>
        <v>6.4310802103531244E-5</v>
      </c>
      <c r="AH74" s="37">
        <f t="shared" si="55"/>
        <v>0.13443485489744675</v>
      </c>
      <c r="AI74" s="40">
        <f t="shared" si="64"/>
        <v>0.13449916569955028</v>
      </c>
      <c r="AJ74" s="39">
        <f t="shared" si="65"/>
        <v>0.23024054982817871</v>
      </c>
      <c r="AK74" s="37">
        <f t="shared" si="56"/>
        <v>0.2643918413353708</v>
      </c>
      <c r="AL74" s="37">
        <f t="shared" si="57"/>
        <v>0.10050000000000001</v>
      </c>
      <c r="AM74" s="37">
        <f t="shared" si="58"/>
        <v>0.2423025</v>
      </c>
      <c r="AN74" s="40">
        <f t="shared" si="66"/>
        <v>0.34280250000000001</v>
      </c>
      <c r="AO74" s="39">
        <f t="shared" si="59"/>
        <v>8.3883654917649457E-4</v>
      </c>
      <c r="AP74" s="37">
        <f t="shared" si="60"/>
        <v>0.11834775000000002</v>
      </c>
      <c r="AQ74" s="40">
        <f t="shared" si="61"/>
        <v>2.0250000000000001E-2</v>
      </c>
      <c r="AR74" s="39">
        <f t="shared" si="67"/>
        <v>0.63603149287978611</v>
      </c>
      <c r="AS74" s="37">
        <f t="shared" si="68"/>
        <v>12.06</v>
      </c>
      <c r="AT74" s="40">
        <f t="shared" si="69"/>
        <v>94.990312577308217</v>
      </c>
    </row>
    <row r="75" spans="17:46" x14ac:dyDescent="0.3">
      <c r="Q75">
        <v>68</v>
      </c>
      <c r="R75" s="39">
        <f t="shared" si="45"/>
        <v>54</v>
      </c>
      <c r="S75" s="37">
        <f t="shared" si="46"/>
        <v>0.22666666666666668</v>
      </c>
      <c r="T75" s="37">
        <f t="shared" si="47"/>
        <v>45</v>
      </c>
      <c r="U75" s="40">
        <f t="shared" si="48"/>
        <v>0.28041237113402062</v>
      </c>
      <c r="V75" s="39">
        <f t="shared" si="49"/>
        <v>2</v>
      </c>
      <c r="W75" s="37">
        <f t="shared" si="50"/>
        <v>0.16666666666666663</v>
      </c>
      <c r="X75" s="40">
        <f t="shared" si="51"/>
        <v>0.83333333333333337</v>
      </c>
      <c r="Y75" s="39">
        <f t="shared" si="52"/>
        <v>0.30096308186195819</v>
      </c>
      <c r="Z75" s="37">
        <f t="shared" si="28"/>
        <v>0.43089391206499972</v>
      </c>
      <c r="AA75" s="37">
        <f t="shared" si="29"/>
        <v>0.29356316061793419</v>
      </c>
      <c r="AB75" s="37">
        <v>0</v>
      </c>
      <c r="AC75" s="37">
        <f t="shared" si="53"/>
        <v>1.9821245732557936E-2</v>
      </c>
      <c r="AD75" s="40">
        <f t="shared" si="62"/>
        <v>1.9821245732557936E-2</v>
      </c>
      <c r="AE75" s="39">
        <f t="shared" si="70"/>
        <v>4.673539518900343E-2</v>
      </c>
      <c r="AF75" s="37">
        <f t="shared" si="63"/>
        <v>0.11984665846544006</v>
      </c>
      <c r="AG75" s="37">
        <f t="shared" si="54"/>
        <v>6.6070819108526431E-5</v>
      </c>
      <c r="AH75" s="37">
        <f t="shared" si="55"/>
        <v>0.13644134526905044</v>
      </c>
      <c r="AI75" s="40">
        <f t="shared" si="64"/>
        <v>0.13650741608815897</v>
      </c>
      <c r="AJ75" s="39">
        <f t="shared" si="65"/>
        <v>0.23367697594501718</v>
      </c>
      <c r="AK75" s="37">
        <f t="shared" si="56"/>
        <v>0.26798527520492466</v>
      </c>
      <c r="AL75" s="37">
        <f t="shared" si="57"/>
        <v>0.10200000000000001</v>
      </c>
      <c r="AM75" s="37">
        <f t="shared" si="58"/>
        <v>0.2423025</v>
      </c>
      <c r="AN75" s="40">
        <f t="shared" si="66"/>
        <v>0.34430250000000001</v>
      </c>
      <c r="AO75" s="39">
        <f t="shared" si="59"/>
        <v>8.6179329271991007E-4</v>
      </c>
      <c r="AP75" s="37">
        <f t="shared" si="60"/>
        <v>0.11834775000000002</v>
      </c>
      <c r="AQ75" s="40">
        <f t="shared" si="61"/>
        <v>2.0250000000000001E-2</v>
      </c>
      <c r="AR75" s="39">
        <f t="shared" si="67"/>
        <v>0.6400907051134368</v>
      </c>
      <c r="AS75" s="37">
        <f t="shared" si="68"/>
        <v>12.24</v>
      </c>
      <c r="AT75" s="40">
        <f t="shared" si="69"/>
        <v>95.030386665993589</v>
      </c>
    </row>
    <row r="76" spans="17:46" x14ac:dyDescent="0.3">
      <c r="Q76">
        <v>69</v>
      </c>
      <c r="R76" s="39">
        <f t="shared" si="45"/>
        <v>54</v>
      </c>
      <c r="S76" s="37">
        <f t="shared" si="46"/>
        <v>0.23</v>
      </c>
      <c r="T76" s="37">
        <f t="shared" si="47"/>
        <v>45</v>
      </c>
      <c r="U76" s="40">
        <f t="shared" si="48"/>
        <v>0.28453608247422679</v>
      </c>
      <c r="V76" s="39">
        <f t="shared" si="49"/>
        <v>2</v>
      </c>
      <c r="W76" s="37">
        <f t="shared" si="50"/>
        <v>0.16666666666666663</v>
      </c>
      <c r="X76" s="40">
        <f t="shared" si="51"/>
        <v>0.83333333333333337</v>
      </c>
      <c r="Y76" s="39">
        <f t="shared" si="52"/>
        <v>0.30096308186195819</v>
      </c>
      <c r="Z76" s="37">
        <f t="shared" si="28"/>
        <v>0.43501762340520589</v>
      </c>
      <c r="AA76" s="37">
        <f t="shared" si="29"/>
        <v>0.29750464469780519</v>
      </c>
      <c r="AB76" s="37">
        <v>0</v>
      </c>
      <c r="AC76" s="37">
        <f t="shared" si="53"/>
        <v>2.035707313185648E-2</v>
      </c>
      <c r="AD76" s="40">
        <f t="shared" si="62"/>
        <v>2.035707313185648E-2</v>
      </c>
      <c r="AE76" s="39">
        <f t="shared" si="70"/>
        <v>4.7422680412371118E-2</v>
      </c>
      <c r="AF76" s="37">
        <f t="shared" si="63"/>
        <v>0.12145576260293792</v>
      </c>
      <c r="AG76" s="37">
        <f t="shared" si="54"/>
        <v>6.7856910439521579E-5</v>
      </c>
      <c r="AH76" s="37">
        <f t="shared" si="55"/>
        <v>0.1384478356406541</v>
      </c>
      <c r="AI76" s="40">
        <f t="shared" si="64"/>
        <v>0.13851569255109364</v>
      </c>
      <c r="AJ76" s="39">
        <f t="shared" si="65"/>
        <v>0.23711340206185566</v>
      </c>
      <c r="AK76" s="37">
        <f t="shared" si="56"/>
        <v>0.27158334143924601</v>
      </c>
      <c r="AL76" s="37">
        <f t="shared" si="57"/>
        <v>0.10350000000000001</v>
      </c>
      <c r="AM76" s="37">
        <f t="shared" si="58"/>
        <v>0.2423025</v>
      </c>
      <c r="AN76" s="40">
        <f t="shared" si="66"/>
        <v>0.34580250000000001</v>
      </c>
      <c r="AO76" s="39">
        <f t="shared" si="59"/>
        <v>8.8509013616767278E-4</v>
      </c>
      <c r="AP76" s="37">
        <f t="shared" si="60"/>
        <v>0.11834775000000002</v>
      </c>
      <c r="AQ76" s="40">
        <f t="shared" si="61"/>
        <v>2.0250000000000001E-2</v>
      </c>
      <c r="AR76" s="39">
        <f t="shared" si="67"/>
        <v>0.64415810581911781</v>
      </c>
      <c r="AS76" s="37">
        <f t="shared" si="68"/>
        <v>12.42</v>
      </c>
      <c r="AT76" s="40">
        <f t="shared" si="69"/>
        <v>95.069271968377407</v>
      </c>
    </row>
    <row r="77" spans="17:46" x14ac:dyDescent="0.3">
      <c r="Q77">
        <v>70</v>
      </c>
      <c r="R77" s="39">
        <f t="shared" si="45"/>
        <v>54</v>
      </c>
      <c r="S77" s="37">
        <f t="shared" si="46"/>
        <v>0.23333333333333334</v>
      </c>
      <c r="T77" s="37">
        <f t="shared" si="47"/>
        <v>45</v>
      </c>
      <c r="U77" s="40">
        <f t="shared" si="48"/>
        <v>0.28865979381443296</v>
      </c>
      <c r="V77" s="39">
        <f t="shared" si="49"/>
        <v>2</v>
      </c>
      <c r="W77" s="37">
        <f t="shared" si="50"/>
        <v>0.16666666666666663</v>
      </c>
      <c r="X77" s="40">
        <f t="shared" si="51"/>
        <v>0.83333333333333337</v>
      </c>
      <c r="Y77" s="39">
        <f t="shared" si="52"/>
        <v>0.30096308186195819</v>
      </c>
      <c r="Z77" s="37">
        <f t="shared" si="28"/>
        <v>0.43914133474541206</v>
      </c>
      <c r="AA77" s="37">
        <f t="shared" si="29"/>
        <v>0.30145100423116566</v>
      </c>
      <c r="AB77" s="37">
        <v>0</v>
      </c>
      <c r="AC77" s="37">
        <f t="shared" si="53"/>
        <v>2.0900722828954998E-2</v>
      </c>
      <c r="AD77" s="40">
        <f t="shared" si="62"/>
        <v>2.0900722828954998E-2</v>
      </c>
      <c r="AE77" s="39">
        <f t="shared" si="70"/>
        <v>4.8109965635738813E-2</v>
      </c>
      <c r="AF77" s="37">
        <f t="shared" si="63"/>
        <v>0.12306685713598811</v>
      </c>
      <c r="AG77" s="37">
        <f t="shared" si="54"/>
        <v>6.9669076096516661E-5</v>
      </c>
      <c r="AH77" s="37">
        <f t="shared" si="55"/>
        <v>0.1404543260122578</v>
      </c>
      <c r="AI77" s="40">
        <f t="shared" si="64"/>
        <v>0.14052399508835431</v>
      </c>
      <c r="AJ77" s="39">
        <f t="shared" si="65"/>
        <v>0.24054982817869414</v>
      </c>
      <c r="AK77" s="37">
        <f t="shared" si="56"/>
        <v>0.27518585833332454</v>
      </c>
      <c r="AL77" s="37">
        <f t="shared" si="57"/>
        <v>0.10500000000000001</v>
      </c>
      <c r="AM77" s="37">
        <f t="shared" si="58"/>
        <v>0.2423025</v>
      </c>
      <c r="AN77" s="40">
        <f t="shared" si="66"/>
        <v>0.34730250000000001</v>
      </c>
      <c r="AO77" s="39">
        <f t="shared" si="59"/>
        <v>9.0872707951978248E-4</v>
      </c>
      <c r="AP77" s="37">
        <f t="shared" si="60"/>
        <v>0.11834775000000002</v>
      </c>
      <c r="AQ77" s="40">
        <f t="shared" si="61"/>
        <v>2.0250000000000001E-2</v>
      </c>
      <c r="AR77" s="39">
        <f t="shared" si="67"/>
        <v>0.64823369499682904</v>
      </c>
      <c r="AS77" s="37">
        <f t="shared" si="68"/>
        <v>12.6</v>
      </c>
      <c r="AT77" s="40">
        <f t="shared" si="69"/>
        <v>95.107017962389705</v>
      </c>
    </row>
    <row r="78" spans="17:46" x14ac:dyDescent="0.3">
      <c r="Q78">
        <v>71</v>
      </c>
      <c r="R78" s="39">
        <f t="shared" si="45"/>
        <v>54</v>
      </c>
      <c r="S78" s="37">
        <f t="shared" si="46"/>
        <v>0.23666666666666669</v>
      </c>
      <c r="T78" s="37">
        <f t="shared" si="47"/>
        <v>45</v>
      </c>
      <c r="U78" s="40">
        <f t="shared" si="48"/>
        <v>0.29278350515463919</v>
      </c>
      <c r="V78" s="39">
        <f t="shared" si="49"/>
        <v>2</v>
      </c>
      <c r="W78" s="37">
        <f t="shared" si="50"/>
        <v>0.16666666666666663</v>
      </c>
      <c r="X78" s="40">
        <f t="shared" si="51"/>
        <v>0.83333333333333337</v>
      </c>
      <c r="Y78" s="39">
        <f t="shared" si="52"/>
        <v>0.30096308186195819</v>
      </c>
      <c r="Z78" s="37">
        <f t="shared" si="28"/>
        <v>0.44326504608561829</v>
      </c>
      <c r="AA78" s="37">
        <f t="shared" si="29"/>
        <v>0.30540205021843575</v>
      </c>
      <c r="AB78" s="37">
        <v>0</v>
      </c>
      <c r="AC78" s="37">
        <f t="shared" si="53"/>
        <v>2.1452194823853511E-2</v>
      </c>
      <c r="AD78" s="40">
        <f t="shared" si="62"/>
        <v>2.1452194823853511E-2</v>
      </c>
      <c r="AE78" s="39">
        <f t="shared" si="70"/>
        <v>4.8797250859106522E-2</v>
      </c>
      <c r="AF78" s="37">
        <f t="shared" si="63"/>
        <v>0.12467986490583521</v>
      </c>
      <c r="AG78" s="37">
        <f t="shared" si="54"/>
        <v>7.1507316079511663E-5</v>
      </c>
      <c r="AH78" s="37">
        <f t="shared" si="55"/>
        <v>0.14246081638386149</v>
      </c>
      <c r="AI78" s="40">
        <f t="shared" si="64"/>
        <v>0.14253232369994101</v>
      </c>
      <c r="AJ78" s="39">
        <f t="shared" si="65"/>
        <v>0.24398625429553267</v>
      </c>
      <c r="AK78" s="37">
        <f t="shared" si="56"/>
        <v>0.27879265335493802</v>
      </c>
      <c r="AL78" s="37">
        <f t="shared" si="57"/>
        <v>0.10650000000000001</v>
      </c>
      <c r="AM78" s="37">
        <f t="shared" si="58"/>
        <v>0.2423025</v>
      </c>
      <c r="AN78" s="40">
        <f t="shared" si="66"/>
        <v>0.34880250000000002</v>
      </c>
      <c r="AO78" s="39">
        <f t="shared" si="59"/>
        <v>9.3270412277623907E-4</v>
      </c>
      <c r="AP78" s="37">
        <f t="shared" si="60"/>
        <v>0.11834775000000002</v>
      </c>
      <c r="AQ78" s="40">
        <f t="shared" si="61"/>
        <v>2.0250000000000001E-2</v>
      </c>
      <c r="AR78" s="39">
        <f t="shared" si="67"/>
        <v>0.6523174726465707</v>
      </c>
      <c r="AS78" s="37">
        <f t="shared" si="68"/>
        <v>12.780000000000001</v>
      </c>
      <c r="AT78" s="40">
        <f t="shared" si="69"/>
        <v>95.143671418018954</v>
      </c>
    </row>
    <row r="79" spans="17:46" x14ac:dyDescent="0.3">
      <c r="Q79">
        <v>72</v>
      </c>
      <c r="R79" s="39">
        <f t="shared" si="45"/>
        <v>54</v>
      </c>
      <c r="S79" s="37">
        <f t="shared" si="46"/>
        <v>0.24000000000000002</v>
      </c>
      <c r="T79" s="37">
        <f t="shared" si="47"/>
        <v>45</v>
      </c>
      <c r="U79" s="40">
        <f t="shared" si="48"/>
        <v>0.29690721649484542</v>
      </c>
      <c r="V79" s="39">
        <f t="shared" si="49"/>
        <v>2</v>
      </c>
      <c r="W79" s="37">
        <f t="shared" si="50"/>
        <v>0.16666666666666663</v>
      </c>
      <c r="X79" s="40">
        <f t="shared" si="51"/>
        <v>0.83333333333333337</v>
      </c>
      <c r="Y79" s="39">
        <f t="shared" si="52"/>
        <v>0.30096308186195819</v>
      </c>
      <c r="Z79" s="37">
        <f t="shared" si="28"/>
        <v>0.44738875742582451</v>
      </c>
      <c r="AA79" s="37">
        <f t="shared" si="29"/>
        <v>0.30935760309664978</v>
      </c>
      <c r="AB79" s="37">
        <v>0</v>
      </c>
      <c r="AC79" s="37">
        <f t="shared" si="53"/>
        <v>2.2011489116551989E-2</v>
      </c>
      <c r="AD79" s="40">
        <f t="shared" si="62"/>
        <v>2.2011489116551989E-2</v>
      </c>
      <c r="AE79" s="39">
        <f t="shared" si="70"/>
        <v>4.9484536082474224E-2</v>
      </c>
      <c r="AF79" s="37">
        <f t="shared" si="63"/>
        <v>0.12629471260620553</v>
      </c>
      <c r="AG79" s="37">
        <f t="shared" si="54"/>
        <v>7.337163038850664E-5</v>
      </c>
      <c r="AH79" s="37">
        <f t="shared" si="55"/>
        <v>0.14446730675546521</v>
      </c>
      <c r="AI79" s="40">
        <f t="shared" si="64"/>
        <v>0.14454067838585372</v>
      </c>
      <c r="AJ79" s="39">
        <f t="shared" si="65"/>
        <v>0.2474226804123712</v>
      </c>
      <c r="AK79" s="37">
        <f t="shared" si="56"/>
        <v>0.28240356258627525</v>
      </c>
      <c r="AL79" s="37">
        <f t="shared" si="57"/>
        <v>0.10800000000000001</v>
      </c>
      <c r="AM79" s="37">
        <f t="shared" si="58"/>
        <v>0.2423025</v>
      </c>
      <c r="AN79" s="40">
        <f t="shared" si="66"/>
        <v>0.35030250000000002</v>
      </c>
      <c r="AO79" s="39">
        <f t="shared" si="59"/>
        <v>9.5702126593704307E-4</v>
      </c>
      <c r="AP79" s="37">
        <f t="shared" si="60"/>
        <v>0.11834775000000002</v>
      </c>
      <c r="AQ79" s="40">
        <f t="shared" si="61"/>
        <v>2.0250000000000001E-2</v>
      </c>
      <c r="AR79" s="39">
        <f t="shared" si="67"/>
        <v>0.65640943876834279</v>
      </c>
      <c r="AS79" s="37">
        <f t="shared" si="68"/>
        <v>12.96</v>
      </c>
      <c r="AT79" s="40">
        <f t="shared" si="69"/>
        <v>95.179276580069427</v>
      </c>
    </row>
    <row r="80" spans="17:46" x14ac:dyDescent="0.3">
      <c r="Q80">
        <v>73</v>
      </c>
      <c r="R80" s="39">
        <f t="shared" si="45"/>
        <v>54</v>
      </c>
      <c r="S80" s="37">
        <f t="shared" si="46"/>
        <v>0.24333333333333335</v>
      </c>
      <c r="T80" s="37">
        <f t="shared" si="47"/>
        <v>45</v>
      </c>
      <c r="U80" s="40">
        <f t="shared" si="48"/>
        <v>0.30103092783505159</v>
      </c>
      <c r="V80" s="39">
        <f t="shared" si="49"/>
        <v>2</v>
      </c>
      <c r="W80" s="37">
        <f t="shared" si="50"/>
        <v>0.16666666666666663</v>
      </c>
      <c r="X80" s="40">
        <f t="shared" si="51"/>
        <v>0.83333333333333337</v>
      </c>
      <c r="Y80" s="39">
        <f t="shared" si="52"/>
        <v>0.30096308186195819</v>
      </c>
      <c r="Z80" s="37">
        <f t="shared" ref="Z80:Z143" si="71">CHOOSE(V80,Y80,U80+(0.5*Y80))</f>
        <v>0.45151246876603068</v>
      </c>
      <c r="AA80" s="37">
        <f t="shared" ref="AA80:AA143" si="72">CHOOSE(V80,Z80*SQRT((W80+X80)/3),SQRT((U80^2)+((Y80^2)/12)))</f>
        <v>0.31331749217083193</v>
      </c>
      <c r="AB80" s="37">
        <v>0</v>
      </c>
      <c r="AC80" s="37">
        <f t="shared" si="53"/>
        <v>2.2578605707050448E-2</v>
      </c>
      <c r="AD80" s="40">
        <f t="shared" si="62"/>
        <v>2.2578605707050448E-2</v>
      </c>
      <c r="AE80" s="39">
        <f t="shared" si="70"/>
        <v>5.017182130584192E-2</v>
      </c>
      <c r="AF80" s="37">
        <f t="shared" si="63"/>
        <v>0.12791133055116691</v>
      </c>
      <c r="AG80" s="37">
        <f t="shared" si="54"/>
        <v>7.5262019023501469E-5</v>
      </c>
      <c r="AH80" s="37">
        <f t="shared" si="55"/>
        <v>0.1464737971270689</v>
      </c>
      <c r="AI80" s="40">
        <f t="shared" si="64"/>
        <v>0.1465490591460924</v>
      </c>
      <c r="AJ80" s="39">
        <f t="shared" si="65"/>
        <v>0.25085910652920967</v>
      </c>
      <c r="AK80" s="37">
        <f t="shared" si="56"/>
        <v>0.2860184302048549</v>
      </c>
      <c r="AL80" s="37">
        <f t="shared" si="57"/>
        <v>0.10950000000000001</v>
      </c>
      <c r="AM80" s="37">
        <f t="shared" si="58"/>
        <v>0.2423025</v>
      </c>
      <c r="AN80" s="40">
        <f t="shared" si="66"/>
        <v>0.35180250000000002</v>
      </c>
      <c r="AO80" s="39">
        <f t="shared" si="59"/>
        <v>9.8167850900219298E-4</v>
      </c>
      <c r="AP80" s="37">
        <f t="shared" si="60"/>
        <v>0.11834775000000002</v>
      </c>
      <c r="AQ80" s="40">
        <f t="shared" si="61"/>
        <v>2.0250000000000001E-2</v>
      </c>
      <c r="AR80" s="39">
        <f t="shared" si="67"/>
        <v>0.66050959336214499</v>
      </c>
      <c r="AS80" s="37">
        <f t="shared" si="68"/>
        <v>13.14</v>
      </c>
      <c r="AT80" s="40">
        <f t="shared" si="69"/>
        <v>95.213875336314828</v>
      </c>
    </row>
    <row r="81" spans="17:46" x14ac:dyDescent="0.3">
      <c r="Q81">
        <v>74</v>
      </c>
      <c r="R81" s="39">
        <f t="shared" si="45"/>
        <v>54</v>
      </c>
      <c r="S81" s="37">
        <f t="shared" si="46"/>
        <v>0.24666666666666667</v>
      </c>
      <c r="T81" s="37">
        <f t="shared" si="47"/>
        <v>45</v>
      </c>
      <c r="U81" s="40">
        <f t="shared" si="48"/>
        <v>0.30515463917525776</v>
      </c>
      <c r="V81" s="39">
        <f t="shared" si="49"/>
        <v>2</v>
      </c>
      <c r="W81" s="37">
        <f t="shared" si="50"/>
        <v>0.16666666666666663</v>
      </c>
      <c r="X81" s="40">
        <f t="shared" si="51"/>
        <v>0.83333333333333337</v>
      </c>
      <c r="Y81" s="39">
        <f t="shared" si="52"/>
        <v>0.30096308186195819</v>
      </c>
      <c r="Z81" s="37">
        <f t="shared" si="71"/>
        <v>0.45563618010623685</v>
      </c>
      <c r="AA81" s="37">
        <f t="shared" si="72"/>
        <v>0.31728155508502076</v>
      </c>
      <c r="AB81" s="37">
        <v>0</v>
      </c>
      <c r="AC81" s="37">
        <f t="shared" si="53"/>
        <v>2.3153544595348886E-2</v>
      </c>
      <c r="AD81" s="40">
        <f t="shared" si="62"/>
        <v>2.3153544595348886E-2</v>
      </c>
      <c r="AE81" s="39">
        <f t="shared" si="70"/>
        <v>5.0859106529209615E-2</v>
      </c>
      <c r="AF81" s="37">
        <f t="shared" si="63"/>
        <v>0.12952965245917569</v>
      </c>
      <c r="AG81" s="37">
        <f t="shared" si="54"/>
        <v>7.7178481984496258E-5</v>
      </c>
      <c r="AH81" s="37">
        <f t="shared" si="55"/>
        <v>0.14848028749867256</v>
      </c>
      <c r="AI81" s="40">
        <f t="shared" si="64"/>
        <v>0.14855746598065706</v>
      </c>
      <c r="AJ81" s="39">
        <f t="shared" si="65"/>
        <v>0.25429553264604815</v>
      </c>
      <c r="AK81" s="37">
        <f t="shared" si="56"/>
        <v>0.28963710800063969</v>
      </c>
      <c r="AL81" s="37">
        <f t="shared" si="57"/>
        <v>0.111</v>
      </c>
      <c r="AM81" s="37">
        <f t="shared" si="58"/>
        <v>0.2423025</v>
      </c>
      <c r="AN81" s="40">
        <f t="shared" si="66"/>
        <v>0.35330250000000002</v>
      </c>
      <c r="AO81" s="39">
        <f t="shared" si="59"/>
        <v>1.0066758519716903E-3</v>
      </c>
      <c r="AP81" s="37">
        <f t="shared" si="60"/>
        <v>0.11834775000000002</v>
      </c>
      <c r="AQ81" s="40">
        <f t="shared" si="61"/>
        <v>2.0250000000000001E-2</v>
      </c>
      <c r="AR81" s="39">
        <f t="shared" si="67"/>
        <v>0.66461793642797762</v>
      </c>
      <c r="AS81" s="37">
        <f t="shared" si="68"/>
        <v>13.32</v>
      </c>
      <c r="AT81" s="40">
        <f t="shared" si="69"/>
        <v>95.247507372391354</v>
      </c>
    </row>
    <row r="82" spans="17:46" x14ac:dyDescent="0.3">
      <c r="Q82">
        <v>75</v>
      </c>
      <c r="R82" s="39">
        <f t="shared" si="45"/>
        <v>54</v>
      </c>
      <c r="S82" s="37">
        <f t="shared" si="46"/>
        <v>0.25</v>
      </c>
      <c r="T82" s="37">
        <f t="shared" si="47"/>
        <v>45</v>
      </c>
      <c r="U82" s="40">
        <f t="shared" si="48"/>
        <v>0.30927835051546393</v>
      </c>
      <c r="V82" s="39">
        <f t="shared" si="49"/>
        <v>2</v>
      </c>
      <c r="W82" s="37">
        <f t="shared" si="50"/>
        <v>0.16666666666666663</v>
      </c>
      <c r="X82" s="40">
        <f t="shared" si="51"/>
        <v>0.83333333333333337</v>
      </c>
      <c r="Y82" s="39">
        <f t="shared" si="52"/>
        <v>0.30096308186195819</v>
      </c>
      <c r="Z82" s="37">
        <f t="shared" si="71"/>
        <v>0.45975989144644303</v>
      </c>
      <c r="AA82" s="37">
        <f t="shared" si="72"/>
        <v>0.32124963732983963</v>
      </c>
      <c r="AB82" s="37">
        <v>0</v>
      </c>
      <c r="AC82" s="37">
        <f t="shared" si="53"/>
        <v>2.3736305781447302E-2</v>
      </c>
      <c r="AD82" s="40">
        <f t="shared" si="62"/>
        <v>2.3736305781447302E-2</v>
      </c>
      <c r="AE82" s="39">
        <f t="shared" si="70"/>
        <v>5.154639175257731E-2</v>
      </c>
      <c r="AF82" s="37">
        <f t="shared" si="63"/>
        <v>0.13114961525204299</v>
      </c>
      <c r="AG82" s="37">
        <f t="shared" si="54"/>
        <v>7.9121019271490969E-5</v>
      </c>
      <c r="AH82" s="37">
        <f t="shared" si="55"/>
        <v>0.15048677787027623</v>
      </c>
      <c r="AI82" s="40">
        <f t="shared" si="64"/>
        <v>0.15056589888954772</v>
      </c>
      <c r="AJ82" s="39">
        <f t="shared" si="65"/>
        <v>0.25773195876288663</v>
      </c>
      <c r="AK82" s="37">
        <f t="shared" si="56"/>
        <v>0.2932594549265114</v>
      </c>
      <c r="AL82" s="37">
        <f t="shared" si="57"/>
        <v>0.1125</v>
      </c>
      <c r="AM82" s="37">
        <f t="shared" si="58"/>
        <v>0.2423025</v>
      </c>
      <c r="AN82" s="40">
        <f t="shared" si="66"/>
        <v>0.35480250000000002</v>
      </c>
      <c r="AO82" s="39">
        <f t="shared" si="59"/>
        <v>1.0320132948455345E-3</v>
      </c>
      <c r="AP82" s="37">
        <f t="shared" si="60"/>
        <v>0.11834775000000002</v>
      </c>
      <c r="AQ82" s="40">
        <f t="shared" si="61"/>
        <v>2.0250000000000001E-2</v>
      </c>
      <c r="AR82" s="39">
        <f t="shared" si="67"/>
        <v>0.66873446796584046</v>
      </c>
      <c r="AS82" s="37">
        <f t="shared" si="68"/>
        <v>13.5</v>
      </c>
      <c r="AT82" s="40">
        <f t="shared" si="69"/>
        <v>95.280210314634758</v>
      </c>
    </row>
    <row r="83" spans="17:46" x14ac:dyDescent="0.3">
      <c r="Q83">
        <v>76</v>
      </c>
      <c r="R83" s="39">
        <f t="shared" si="45"/>
        <v>54</v>
      </c>
      <c r="S83" s="37">
        <f t="shared" si="46"/>
        <v>0.25333333333333335</v>
      </c>
      <c r="T83" s="37">
        <f t="shared" si="47"/>
        <v>45</v>
      </c>
      <c r="U83" s="40">
        <f t="shared" si="48"/>
        <v>0.31340206185567016</v>
      </c>
      <c r="V83" s="39">
        <f t="shared" si="49"/>
        <v>2</v>
      </c>
      <c r="W83" s="37">
        <f t="shared" si="50"/>
        <v>0.16666666666666663</v>
      </c>
      <c r="X83" s="40">
        <f t="shared" si="51"/>
        <v>0.83333333333333337</v>
      </c>
      <c r="Y83" s="39">
        <f t="shared" si="52"/>
        <v>0.30096308186195819</v>
      </c>
      <c r="Z83" s="37">
        <f t="shared" si="71"/>
        <v>0.46388360278664925</v>
      </c>
      <c r="AA83" s="37">
        <f t="shared" si="72"/>
        <v>0.32522159178377535</v>
      </c>
      <c r="AB83" s="37">
        <v>0</v>
      </c>
      <c r="AC83" s="37">
        <f t="shared" si="53"/>
        <v>2.4326889265345705E-2</v>
      </c>
      <c r="AD83" s="40">
        <f t="shared" si="62"/>
        <v>2.4326889265345705E-2</v>
      </c>
      <c r="AE83" s="39">
        <f t="shared" si="70"/>
        <v>5.2233676975945012E-2</v>
      </c>
      <c r="AF83" s="37">
        <f t="shared" si="63"/>
        <v>0.13277115886766261</v>
      </c>
      <c r="AG83" s="37">
        <f t="shared" si="54"/>
        <v>8.108963088448568E-5</v>
      </c>
      <c r="AH83" s="37">
        <f t="shared" si="55"/>
        <v>0.15249326824187995</v>
      </c>
      <c r="AI83" s="40">
        <f t="shared" si="64"/>
        <v>0.15257435787276444</v>
      </c>
      <c r="AJ83" s="39">
        <f t="shared" si="65"/>
        <v>0.26116838487972516</v>
      </c>
      <c r="AK83" s="37">
        <f t="shared" si="56"/>
        <v>0.29688533667951761</v>
      </c>
      <c r="AL83" s="37">
        <f t="shared" si="57"/>
        <v>0.11400000000000002</v>
      </c>
      <c r="AM83" s="37">
        <f t="shared" si="58"/>
        <v>0.2423025</v>
      </c>
      <c r="AN83" s="40">
        <f t="shared" si="66"/>
        <v>0.35630250000000002</v>
      </c>
      <c r="AO83" s="39">
        <f t="shared" si="59"/>
        <v>1.0576908376237263E-3</v>
      </c>
      <c r="AP83" s="37">
        <f t="shared" si="60"/>
        <v>0.11834775000000002</v>
      </c>
      <c r="AQ83" s="40">
        <f t="shared" si="61"/>
        <v>2.0250000000000001E-2</v>
      </c>
      <c r="AR83" s="39">
        <f t="shared" si="67"/>
        <v>0.67285918797573385</v>
      </c>
      <c r="AS83" s="37">
        <f t="shared" si="68"/>
        <v>13.680000000000001</v>
      </c>
      <c r="AT83" s="40">
        <f t="shared" si="69"/>
        <v>95.312019861942005</v>
      </c>
    </row>
    <row r="84" spans="17:46" x14ac:dyDescent="0.3">
      <c r="Q84">
        <v>77</v>
      </c>
      <c r="R84" s="39">
        <f t="shared" si="45"/>
        <v>54</v>
      </c>
      <c r="S84" s="37">
        <f t="shared" si="46"/>
        <v>0.25666666666666671</v>
      </c>
      <c r="T84" s="37">
        <f t="shared" si="47"/>
        <v>45</v>
      </c>
      <c r="U84" s="40">
        <f t="shared" si="48"/>
        <v>0.31752577319587638</v>
      </c>
      <c r="V84" s="39">
        <f t="shared" si="49"/>
        <v>2</v>
      </c>
      <c r="W84" s="37">
        <f t="shared" si="50"/>
        <v>0.16666666666666663</v>
      </c>
      <c r="X84" s="40">
        <f t="shared" si="51"/>
        <v>0.83333333333333337</v>
      </c>
      <c r="Y84" s="39">
        <f t="shared" si="52"/>
        <v>0.30096308186195819</v>
      </c>
      <c r="Z84" s="37">
        <f t="shared" si="71"/>
        <v>0.46800731412685548</v>
      </c>
      <c r="AA84" s="37">
        <f t="shared" si="72"/>
        <v>0.32919727828556911</v>
      </c>
      <c r="AB84" s="37">
        <v>0</v>
      </c>
      <c r="AC84" s="37">
        <f t="shared" si="53"/>
        <v>2.4925295047044077E-2</v>
      </c>
      <c r="AD84" s="40">
        <f t="shared" si="62"/>
        <v>2.4925295047044077E-2</v>
      </c>
      <c r="AE84" s="39">
        <f t="shared" si="70"/>
        <v>5.2920962199312721E-2</v>
      </c>
      <c r="AF84" s="37">
        <f t="shared" si="63"/>
        <v>0.13439422608544016</v>
      </c>
      <c r="AG84" s="37">
        <f t="shared" si="54"/>
        <v>8.3084316823480258E-5</v>
      </c>
      <c r="AH84" s="37">
        <f t="shared" si="55"/>
        <v>0.15449975861348364</v>
      </c>
      <c r="AI84" s="40">
        <f t="shared" si="64"/>
        <v>0.15458284293030711</v>
      </c>
      <c r="AJ84" s="39">
        <f t="shared" si="65"/>
        <v>0.26460481099656369</v>
      </c>
      <c r="AK84" s="37">
        <f t="shared" si="56"/>
        <v>0.3005146253105197</v>
      </c>
      <c r="AL84" s="37">
        <f t="shared" si="57"/>
        <v>0.11550000000000002</v>
      </c>
      <c r="AM84" s="37">
        <f t="shared" si="58"/>
        <v>0.2423025</v>
      </c>
      <c r="AN84" s="40">
        <f t="shared" si="66"/>
        <v>0.35780250000000002</v>
      </c>
      <c r="AO84" s="39">
        <f t="shared" si="59"/>
        <v>1.0837084803062642E-3</v>
      </c>
      <c r="AP84" s="37">
        <f t="shared" si="60"/>
        <v>0.11834775000000002</v>
      </c>
      <c r="AQ84" s="40">
        <f t="shared" si="61"/>
        <v>2.0250000000000001E-2</v>
      </c>
      <c r="AR84" s="39">
        <f t="shared" si="67"/>
        <v>0.67699209645765746</v>
      </c>
      <c r="AS84" s="37">
        <f t="shared" si="68"/>
        <v>13.860000000000003</v>
      </c>
      <c r="AT84" s="40">
        <f t="shared" si="69"/>
        <v>95.342969907628785</v>
      </c>
    </row>
    <row r="85" spans="17:46" x14ac:dyDescent="0.3">
      <c r="Q85">
        <v>78</v>
      </c>
      <c r="R85" s="39">
        <f t="shared" si="45"/>
        <v>54</v>
      </c>
      <c r="S85" s="37">
        <f t="shared" si="46"/>
        <v>0.26</v>
      </c>
      <c r="T85" s="37">
        <f t="shared" si="47"/>
        <v>45</v>
      </c>
      <c r="U85" s="40">
        <f t="shared" si="48"/>
        <v>0.3216494845360825</v>
      </c>
      <c r="V85" s="39">
        <f t="shared" si="49"/>
        <v>2</v>
      </c>
      <c r="W85" s="37">
        <f t="shared" si="50"/>
        <v>0.16666666666666663</v>
      </c>
      <c r="X85" s="40">
        <f t="shared" si="51"/>
        <v>0.83333333333333337</v>
      </c>
      <c r="Y85" s="39">
        <f t="shared" si="52"/>
        <v>0.30096308186195819</v>
      </c>
      <c r="Z85" s="37">
        <f t="shared" si="71"/>
        <v>0.47213102546706159</v>
      </c>
      <c r="AA85" s="37">
        <f t="shared" si="72"/>
        <v>0.33317656323534356</v>
      </c>
      <c r="AB85" s="37">
        <v>0</v>
      </c>
      <c r="AC85" s="37">
        <f t="shared" si="53"/>
        <v>2.5531523126542426E-2</v>
      </c>
      <c r="AD85" s="40">
        <f t="shared" si="62"/>
        <v>2.5531523126542426E-2</v>
      </c>
      <c r="AE85" s="39">
        <f t="shared" si="70"/>
        <v>5.3608247422680402E-2</v>
      </c>
      <c r="AF85" s="37">
        <f t="shared" si="63"/>
        <v>0.13601876236345414</v>
      </c>
      <c r="AG85" s="37">
        <f t="shared" si="54"/>
        <v>8.5105077088474716E-5</v>
      </c>
      <c r="AH85" s="37">
        <f t="shared" si="55"/>
        <v>0.1565062489850873</v>
      </c>
      <c r="AI85" s="40">
        <f t="shared" si="64"/>
        <v>0.15659135406217578</v>
      </c>
      <c r="AJ85" s="39">
        <f t="shared" si="65"/>
        <v>0.26804123711340211</v>
      </c>
      <c r="AK85" s="37">
        <f t="shared" si="56"/>
        <v>0.30414719886007352</v>
      </c>
      <c r="AL85" s="37">
        <f t="shared" si="57"/>
        <v>0.11700000000000001</v>
      </c>
      <c r="AM85" s="37">
        <f t="shared" si="58"/>
        <v>0.2423025</v>
      </c>
      <c r="AN85" s="40">
        <f t="shared" si="66"/>
        <v>0.35930250000000002</v>
      </c>
      <c r="AO85" s="39">
        <f t="shared" si="59"/>
        <v>1.1100662228931484E-3</v>
      </c>
      <c r="AP85" s="37">
        <f t="shared" si="60"/>
        <v>0.11834775000000002</v>
      </c>
      <c r="AQ85" s="40">
        <f t="shared" si="61"/>
        <v>2.0250000000000001E-2</v>
      </c>
      <c r="AR85" s="39">
        <f t="shared" si="67"/>
        <v>0.68113319341161127</v>
      </c>
      <c r="AS85" s="37">
        <f t="shared" si="68"/>
        <v>14.040000000000001</v>
      </c>
      <c r="AT85" s="40">
        <f t="shared" si="69"/>
        <v>95.373092652157723</v>
      </c>
    </row>
    <row r="86" spans="17:46" x14ac:dyDescent="0.3">
      <c r="Q86">
        <v>79</v>
      </c>
      <c r="R86" s="39">
        <f t="shared" si="45"/>
        <v>54</v>
      </c>
      <c r="S86" s="37">
        <f t="shared" si="46"/>
        <v>0.26333333333333336</v>
      </c>
      <c r="T86" s="37">
        <f t="shared" si="47"/>
        <v>45</v>
      </c>
      <c r="U86" s="40">
        <f t="shared" si="48"/>
        <v>0.32577319587628872</v>
      </c>
      <c r="V86" s="39">
        <f t="shared" si="49"/>
        <v>2</v>
      </c>
      <c r="W86" s="37">
        <f t="shared" si="50"/>
        <v>0.16666666666666663</v>
      </c>
      <c r="X86" s="40">
        <f t="shared" si="51"/>
        <v>0.83333333333333337</v>
      </c>
      <c r="Y86" s="39">
        <f t="shared" si="52"/>
        <v>0.30096308186195819</v>
      </c>
      <c r="Z86" s="37">
        <f t="shared" si="71"/>
        <v>0.47625473680726782</v>
      </c>
      <c r="AA86" s="37">
        <f t="shared" si="72"/>
        <v>0.33715931922229003</v>
      </c>
      <c r="AB86" s="37">
        <v>0</v>
      </c>
      <c r="AC86" s="37">
        <f t="shared" si="53"/>
        <v>2.6145573503840759E-2</v>
      </c>
      <c r="AD86" s="40">
        <f t="shared" si="62"/>
        <v>2.6145573503840759E-2</v>
      </c>
      <c r="AE86" s="39">
        <f t="shared" si="70"/>
        <v>5.4295532646048111E-2</v>
      </c>
      <c r="AF86" s="37">
        <f t="shared" si="63"/>
        <v>0.13764471568645975</v>
      </c>
      <c r="AG86" s="37">
        <f t="shared" si="54"/>
        <v>8.7151911679469147E-5</v>
      </c>
      <c r="AH86" s="37">
        <f t="shared" si="55"/>
        <v>0.158512739356691</v>
      </c>
      <c r="AI86" s="40">
        <f t="shared" si="64"/>
        <v>0.15859989126837046</v>
      </c>
      <c r="AJ86" s="39">
        <f t="shared" si="65"/>
        <v>0.27147766323024064</v>
      </c>
      <c r="AK86" s="37">
        <f t="shared" si="56"/>
        <v>0.30778294101855569</v>
      </c>
      <c r="AL86" s="37">
        <f t="shared" si="57"/>
        <v>0.11850000000000002</v>
      </c>
      <c r="AM86" s="37">
        <f t="shared" si="58"/>
        <v>0.2423025</v>
      </c>
      <c r="AN86" s="40">
        <f t="shared" si="66"/>
        <v>0.36080250000000003</v>
      </c>
      <c r="AO86" s="39">
        <f t="shared" si="59"/>
        <v>1.1367640653843802E-3</v>
      </c>
      <c r="AP86" s="37">
        <f t="shared" si="60"/>
        <v>0.11834775000000002</v>
      </c>
      <c r="AQ86" s="40">
        <f t="shared" si="61"/>
        <v>2.0250000000000001E-2</v>
      </c>
      <c r="AR86" s="39">
        <f t="shared" si="67"/>
        <v>0.68528247883759552</v>
      </c>
      <c r="AS86" s="37">
        <f t="shared" si="68"/>
        <v>14.220000000000002</v>
      </c>
      <c r="AT86" s="40">
        <f t="shared" si="69"/>
        <v>95.402418707524973</v>
      </c>
    </row>
    <row r="87" spans="17:46" x14ac:dyDescent="0.3">
      <c r="Q87">
        <v>80</v>
      </c>
      <c r="R87" s="39">
        <f t="shared" si="45"/>
        <v>54</v>
      </c>
      <c r="S87" s="37">
        <f t="shared" si="46"/>
        <v>0.26666666666666666</v>
      </c>
      <c r="T87" s="37">
        <f t="shared" si="47"/>
        <v>45</v>
      </c>
      <c r="U87" s="40">
        <f t="shared" si="48"/>
        <v>0.32989690721649484</v>
      </c>
      <c r="V87" s="39">
        <f t="shared" si="49"/>
        <v>2</v>
      </c>
      <c r="W87" s="37">
        <f t="shared" si="50"/>
        <v>0.16666666666666663</v>
      </c>
      <c r="X87" s="40">
        <f t="shared" si="51"/>
        <v>0.83333333333333337</v>
      </c>
      <c r="Y87" s="39">
        <f t="shared" si="52"/>
        <v>0.30096308186195819</v>
      </c>
      <c r="Z87" s="37">
        <f t="shared" si="71"/>
        <v>0.48037844814747394</v>
      </c>
      <c r="AA87" s="37">
        <f t="shared" si="72"/>
        <v>0.34114542467691972</v>
      </c>
      <c r="AB87" s="37">
        <v>0</v>
      </c>
      <c r="AC87" s="37">
        <f t="shared" si="53"/>
        <v>2.6767446178939058E-2</v>
      </c>
      <c r="AD87" s="40">
        <f t="shared" si="62"/>
        <v>2.6767446178939058E-2</v>
      </c>
      <c r="AE87" s="39">
        <f t="shared" si="70"/>
        <v>5.4982817869415793E-2</v>
      </c>
      <c r="AF87" s="37">
        <f t="shared" si="63"/>
        <v>0.139272036423921</v>
      </c>
      <c r="AG87" s="37">
        <f t="shared" si="54"/>
        <v>8.92248205964635E-5</v>
      </c>
      <c r="AH87" s="37">
        <f t="shared" si="55"/>
        <v>0.16051922972829466</v>
      </c>
      <c r="AI87" s="40">
        <f t="shared" si="64"/>
        <v>0.16060845454889111</v>
      </c>
      <c r="AJ87" s="39">
        <f t="shared" si="65"/>
        <v>0.27491408934707906</v>
      </c>
      <c r="AK87" s="37">
        <f t="shared" si="56"/>
        <v>0.31142174080871415</v>
      </c>
      <c r="AL87" s="37">
        <f t="shared" si="57"/>
        <v>0.12</v>
      </c>
      <c r="AM87" s="37">
        <f t="shared" si="58"/>
        <v>0.2423025</v>
      </c>
      <c r="AN87" s="40">
        <f t="shared" si="66"/>
        <v>0.36230249999999997</v>
      </c>
      <c r="AO87" s="39">
        <f t="shared" si="59"/>
        <v>1.1638020077799588E-3</v>
      </c>
      <c r="AP87" s="37">
        <f t="shared" si="60"/>
        <v>0.11834775000000002</v>
      </c>
      <c r="AQ87" s="40">
        <f t="shared" si="61"/>
        <v>2.0250000000000001E-2</v>
      </c>
      <c r="AR87" s="39">
        <f t="shared" si="67"/>
        <v>0.6894399527356101</v>
      </c>
      <c r="AS87" s="37">
        <f t="shared" si="68"/>
        <v>14.4</v>
      </c>
      <c r="AT87" s="40">
        <f t="shared" si="69"/>
        <v>95.430977194016947</v>
      </c>
    </row>
    <row r="88" spans="17:46" x14ac:dyDescent="0.3">
      <c r="Q88">
        <v>81</v>
      </c>
      <c r="R88" s="39">
        <f t="shared" si="45"/>
        <v>54</v>
      </c>
      <c r="S88" s="37">
        <f t="shared" si="46"/>
        <v>0.27</v>
      </c>
      <c r="T88" s="37">
        <f t="shared" si="47"/>
        <v>45</v>
      </c>
      <c r="U88" s="40">
        <f t="shared" si="48"/>
        <v>0.33402061855670107</v>
      </c>
      <c r="V88" s="39">
        <f t="shared" si="49"/>
        <v>2</v>
      </c>
      <c r="W88" s="37">
        <f t="shared" si="50"/>
        <v>0.16666666666666663</v>
      </c>
      <c r="X88" s="40">
        <f t="shared" si="51"/>
        <v>0.83333333333333337</v>
      </c>
      <c r="Y88" s="39">
        <f t="shared" si="52"/>
        <v>0.30096308186195819</v>
      </c>
      <c r="Z88" s="37">
        <f t="shared" si="71"/>
        <v>0.48450215948768016</v>
      </c>
      <c r="AA88" s="37">
        <f t="shared" si="72"/>
        <v>0.34513476354605094</v>
      </c>
      <c r="AB88" s="37">
        <v>0</v>
      </c>
      <c r="AC88" s="37">
        <f t="shared" si="53"/>
        <v>2.7397141151837355E-2</v>
      </c>
      <c r="AD88" s="40">
        <f t="shared" si="62"/>
        <v>2.7397141151837355E-2</v>
      </c>
      <c r="AE88" s="39">
        <f t="shared" si="70"/>
        <v>5.5670103092783502E-2</v>
      </c>
      <c r="AF88" s="37">
        <f t="shared" si="63"/>
        <v>0.14090067719732488</v>
      </c>
      <c r="AG88" s="37">
        <f t="shared" si="54"/>
        <v>9.1323803839457826E-5</v>
      </c>
      <c r="AH88" s="37">
        <f t="shared" si="55"/>
        <v>0.16252572009989835</v>
      </c>
      <c r="AI88" s="40">
        <f t="shared" si="64"/>
        <v>0.16261704390373782</v>
      </c>
      <c r="AJ88" s="39">
        <f t="shared" si="65"/>
        <v>0.27835051546391759</v>
      </c>
      <c r="AK88" s="37">
        <f t="shared" si="56"/>
        <v>0.31506349228897307</v>
      </c>
      <c r="AL88" s="37">
        <f t="shared" si="57"/>
        <v>0.12150000000000001</v>
      </c>
      <c r="AM88" s="37">
        <f t="shared" si="58"/>
        <v>0.2423025</v>
      </c>
      <c r="AN88" s="40">
        <f t="shared" si="66"/>
        <v>0.36380250000000003</v>
      </c>
      <c r="AO88" s="39">
        <f t="shared" si="59"/>
        <v>1.1911800500798847E-3</v>
      </c>
      <c r="AP88" s="37">
        <f t="shared" si="60"/>
        <v>0.11834775000000002</v>
      </c>
      <c r="AQ88" s="40">
        <f t="shared" si="61"/>
        <v>2.0250000000000001E-2</v>
      </c>
      <c r="AR88" s="39">
        <f t="shared" si="67"/>
        <v>0.69360561510565499</v>
      </c>
      <c r="AS88" s="37">
        <f t="shared" si="68"/>
        <v>14.580000000000002</v>
      </c>
      <c r="AT88" s="40">
        <f t="shared" si="69"/>
        <v>95.458795829979564</v>
      </c>
    </row>
    <row r="89" spans="17:46" x14ac:dyDescent="0.3">
      <c r="Q89">
        <v>82</v>
      </c>
      <c r="R89" s="39">
        <f t="shared" si="45"/>
        <v>54</v>
      </c>
      <c r="S89" s="37">
        <f t="shared" si="46"/>
        <v>0.27333333333333337</v>
      </c>
      <c r="T89" s="37">
        <f t="shared" si="47"/>
        <v>45</v>
      </c>
      <c r="U89" s="40">
        <f t="shared" si="48"/>
        <v>0.33814432989690724</v>
      </c>
      <c r="V89" s="39">
        <f t="shared" si="49"/>
        <v>2</v>
      </c>
      <c r="W89" s="37">
        <f t="shared" si="50"/>
        <v>0.16666666666666663</v>
      </c>
      <c r="X89" s="40">
        <f t="shared" si="51"/>
        <v>0.83333333333333337</v>
      </c>
      <c r="Y89" s="39">
        <f t="shared" si="52"/>
        <v>0.30096308186195819</v>
      </c>
      <c r="Z89" s="37">
        <f t="shared" si="71"/>
        <v>0.48862587082788633</v>
      </c>
      <c r="AA89" s="37">
        <f t="shared" si="72"/>
        <v>0.34912722498885096</v>
      </c>
      <c r="AB89" s="37">
        <v>0</v>
      </c>
      <c r="AC89" s="37">
        <f t="shared" si="53"/>
        <v>2.8034658422535625E-2</v>
      </c>
      <c r="AD89" s="40">
        <f t="shared" si="62"/>
        <v>2.8034658422535625E-2</v>
      </c>
      <c r="AE89" s="39">
        <f t="shared" si="70"/>
        <v>5.6357388316151197E-2</v>
      </c>
      <c r="AF89" s="37">
        <f t="shared" si="63"/>
        <v>0.14253059275609084</v>
      </c>
      <c r="AG89" s="37">
        <f t="shared" si="54"/>
        <v>9.3448861408452032E-5</v>
      </c>
      <c r="AH89" s="37">
        <f t="shared" si="55"/>
        <v>0.16453221047150202</v>
      </c>
      <c r="AI89" s="40">
        <f t="shared" si="64"/>
        <v>0.16462565933291046</v>
      </c>
      <c r="AJ89" s="39">
        <f t="shared" si="65"/>
        <v>0.28178694158075607</v>
      </c>
      <c r="AK89" s="37">
        <f t="shared" si="56"/>
        <v>0.31870809427595825</v>
      </c>
      <c r="AL89" s="37">
        <f t="shared" si="57"/>
        <v>0.12300000000000003</v>
      </c>
      <c r="AM89" s="37">
        <f t="shared" si="58"/>
        <v>0.2423025</v>
      </c>
      <c r="AN89" s="40">
        <f t="shared" si="66"/>
        <v>0.36530250000000003</v>
      </c>
      <c r="AO89" s="39">
        <f t="shared" si="59"/>
        <v>1.2188981922841569E-3</v>
      </c>
      <c r="AP89" s="37">
        <f t="shared" si="60"/>
        <v>0.11834775000000002</v>
      </c>
      <c r="AQ89" s="40">
        <f t="shared" si="61"/>
        <v>2.0250000000000001E-2</v>
      </c>
      <c r="AR89" s="39">
        <f t="shared" si="67"/>
        <v>0.69777946594773022</v>
      </c>
      <c r="AS89" s="37">
        <f t="shared" si="68"/>
        <v>14.760000000000002</v>
      </c>
      <c r="AT89" s="40">
        <f t="shared" si="69"/>
        <v>95.485901015182137</v>
      </c>
    </row>
    <row r="90" spans="17:46" x14ac:dyDescent="0.3">
      <c r="Q90">
        <v>83</v>
      </c>
      <c r="R90" s="39">
        <f t="shared" si="45"/>
        <v>54</v>
      </c>
      <c r="S90" s="37">
        <f t="shared" si="46"/>
        <v>0.27666666666666667</v>
      </c>
      <c r="T90" s="37">
        <f t="shared" si="47"/>
        <v>45</v>
      </c>
      <c r="U90" s="40">
        <f t="shared" si="48"/>
        <v>0.34226804123711341</v>
      </c>
      <c r="V90" s="39">
        <f t="shared" si="49"/>
        <v>2</v>
      </c>
      <c r="W90" s="37">
        <f t="shared" si="50"/>
        <v>0.16666666666666663</v>
      </c>
      <c r="X90" s="40">
        <f t="shared" si="51"/>
        <v>0.83333333333333337</v>
      </c>
      <c r="Y90" s="39">
        <f t="shared" si="52"/>
        <v>0.30096308186195819</v>
      </c>
      <c r="Z90" s="37">
        <f t="shared" si="71"/>
        <v>0.4927495821680925</v>
      </c>
      <c r="AA90" s="37">
        <f t="shared" si="72"/>
        <v>0.35312270309239202</v>
      </c>
      <c r="AB90" s="37">
        <v>0</v>
      </c>
      <c r="AC90" s="37">
        <f t="shared" si="53"/>
        <v>2.8679997991033861E-2</v>
      </c>
      <c r="AD90" s="40">
        <f t="shared" si="62"/>
        <v>2.8679997991033861E-2</v>
      </c>
      <c r="AE90" s="39">
        <f t="shared" si="70"/>
        <v>5.7044673539518892E-2</v>
      </c>
      <c r="AF90" s="37">
        <f t="shared" si="63"/>
        <v>0.14416173986144734</v>
      </c>
      <c r="AG90" s="37">
        <f t="shared" si="54"/>
        <v>9.5599993303446227E-5</v>
      </c>
      <c r="AH90" s="37">
        <f t="shared" si="55"/>
        <v>0.16653870084310571</v>
      </c>
      <c r="AI90" s="40">
        <f t="shared" si="64"/>
        <v>0.16663430083640915</v>
      </c>
      <c r="AJ90" s="39">
        <f t="shared" si="65"/>
        <v>0.28522336769759454</v>
      </c>
      <c r="AK90" s="37">
        <f t="shared" si="56"/>
        <v>0.3223554500848374</v>
      </c>
      <c r="AL90" s="37">
        <f t="shared" si="57"/>
        <v>0.1245</v>
      </c>
      <c r="AM90" s="37">
        <f t="shared" si="58"/>
        <v>0.2423025</v>
      </c>
      <c r="AN90" s="40">
        <f t="shared" si="66"/>
        <v>0.36680250000000003</v>
      </c>
      <c r="AO90" s="39">
        <f t="shared" si="59"/>
        <v>1.2469564343927768E-3</v>
      </c>
      <c r="AP90" s="37">
        <f t="shared" si="60"/>
        <v>0.11834775000000002</v>
      </c>
      <c r="AQ90" s="40">
        <f t="shared" si="61"/>
        <v>2.0250000000000001E-2</v>
      </c>
      <c r="AR90" s="39">
        <f t="shared" si="67"/>
        <v>0.70196150526183576</v>
      </c>
      <c r="AS90" s="37">
        <f t="shared" si="68"/>
        <v>14.94</v>
      </c>
      <c r="AT90" s="40">
        <f t="shared" si="69"/>
        <v>95.512317908302606</v>
      </c>
    </row>
    <row r="91" spans="17:46" x14ac:dyDescent="0.3">
      <c r="Q91">
        <v>84</v>
      </c>
      <c r="R91" s="39">
        <f t="shared" si="45"/>
        <v>54</v>
      </c>
      <c r="S91" s="37">
        <f t="shared" si="46"/>
        <v>0.28000000000000003</v>
      </c>
      <c r="T91" s="37">
        <f t="shared" si="47"/>
        <v>45</v>
      </c>
      <c r="U91" s="40">
        <f t="shared" si="48"/>
        <v>0.34639175257731963</v>
      </c>
      <c r="V91" s="39">
        <f t="shared" si="49"/>
        <v>2</v>
      </c>
      <c r="W91" s="37">
        <f t="shared" si="50"/>
        <v>0.16666666666666663</v>
      </c>
      <c r="X91" s="40">
        <f t="shared" si="51"/>
        <v>0.83333333333333337</v>
      </c>
      <c r="Y91" s="39">
        <f t="shared" si="52"/>
        <v>0.30096308186195819</v>
      </c>
      <c r="Z91" s="37">
        <f t="shared" si="71"/>
        <v>0.49687329350829873</v>
      </c>
      <c r="AA91" s="37">
        <f t="shared" si="72"/>
        <v>0.35712109660530322</v>
      </c>
      <c r="AB91" s="37">
        <v>0</v>
      </c>
      <c r="AC91" s="37">
        <f t="shared" si="53"/>
        <v>2.9333159857332095E-2</v>
      </c>
      <c r="AD91" s="40">
        <f t="shared" si="62"/>
        <v>2.9333159857332095E-2</v>
      </c>
      <c r="AE91" s="39">
        <f t="shared" si="70"/>
        <v>5.7731958762886594E-2</v>
      </c>
      <c r="AF91" s="37">
        <f t="shared" si="63"/>
        <v>0.14579407717769513</v>
      </c>
      <c r="AG91" s="37">
        <f t="shared" si="54"/>
        <v>9.7777199524440341E-5</v>
      </c>
      <c r="AH91" s="37">
        <f t="shared" si="55"/>
        <v>0.16854519121470937</v>
      </c>
      <c r="AI91" s="40">
        <f t="shared" si="64"/>
        <v>0.16864296841423382</v>
      </c>
      <c r="AJ91" s="39">
        <f t="shared" si="65"/>
        <v>0.28865979381443302</v>
      </c>
      <c r="AK91" s="37">
        <f t="shared" si="56"/>
        <v>0.32600546728617708</v>
      </c>
      <c r="AL91" s="37">
        <f t="shared" si="57"/>
        <v>0.12600000000000003</v>
      </c>
      <c r="AM91" s="37">
        <f t="shared" si="58"/>
        <v>0.2423025</v>
      </c>
      <c r="AN91" s="40">
        <f t="shared" si="66"/>
        <v>0.36830250000000003</v>
      </c>
      <c r="AO91" s="39">
        <f t="shared" si="59"/>
        <v>1.2753547764057435E-3</v>
      </c>
      <c r="AP91" s="37">
        <f t="shared" si="60"/>
        <v>0.11834775000000002</v>
      </c>
      <c r="AQ91" s="40">
        <f t="shared" si="61"/>
        <v>2.0250000000000001E-2</v>
      </c>
      <c r="AR91" s="39">
        <f t="shared" si="67"/>
        <v>0.70615173304797163</v>
      </c>
      <c r="AS91" s="37">
        <f t="shared" si="68"/>
        <v>15.120000000000001</v>
      </c>
      <c r="AT91" s="40">
        <f t="shared" si="69"/>
        <v>95.538070499012122</v>
      </c>
    </row>
    <row r="92" spans="17:46" x14ac:dyDescent="0.3">
      <c r="Q92">
        <v>85</v>
      </c>
      <c r="R92" s="39">
        <f t="shared" si="45"/>
        <v>54</v>
      </c>
      <c r="S92" s="37">
        <f t="shared" si="46"/>
        <v>0.28333333333333333</v>
      </c>
      <c r="T92" s="37">
        <f t="shared" si="47"/>
        <v>45</v>
      </c>
      <c r="U92" s="40">
        <f t="shared" si="48"/>
        <v>0.35051546391752575</v>
      </c>
      <c r="V92" s="39">
        <f t="shared" si="49"/>
        <v>2</v>
      </c>
      <c r="W92" s="37">
        <f t="shared" si="50"/>
        <v>0.16666666666666663</v>
      </c>
      <c r="X92" s="40">
        <f t="shared" si="51"/>
        <v>0.83333333333333337</v>
      </c>
      <c r="Y92" s="39">
        <f t="shared" si="52"/>
        <v>0.30096308186195819</v>
      </c>
      <c r="Z92" s="37">
        <f t="shared" si="71"/>
        <v>0.50099700484850485</v>
      </c>
      <c r="AA92" s="37">
        <f t="shared" si="72"/>
        <v>0.36112230868821382</v>
      </c>
      <c r="AB92" s="37">
        <v>0</v>
      </c>
      <c r="AC92" s="37">
        <f t="shared" si="53"/>
        <v>2.9994144021430285E-2</v>
      </c>
      <c r="AD92" s="40">
        <f t="shared" si="62"/>
        <v>2.9994144021430285E-2</v>
      </c>
      <c r="AE92" s="39">
        <f t="shared" si="70"/>
        <v>5.8419243986254275E-2</v>
      </c>
      <c r="AF92" s="37">
        <f t="shared" si="63"/>
        <v>0.14742756517032674</v>
      </c>
      <c r="AG92" s="37">
        <f t="shared" si="54"/>
        <v>9.9980480071434308E-5</v>
      </c>
      <c r="AH92" s="37">
        <f t="shared" si="55"/>
        <v>0.17055168158631306</v>
      </c>
      <c r="AI92" s="40">
        <f t="shared" si="64"/>
        <v>0.17065166206638449</v>
      </c>
      <c r="AJ92" s="39">
        <f t="shared" si="65"/>
        <v>0.29209621993127149</v>
      </c>
      <c r="AK92" s="37">
        <f t="shared" si="56"/>
        <v>0.32965805747813098</v>
      </c>
      <c r="AL92" s="37">
        <f t="shared" si="57"/>
        <v>0.1275</v>
      </c>
      <c r="AM92" s="37">
        <f t="shared" si="58"/>
        <v>0.2423025</v>
      </c>
      <c r="AN92" s="40">
        <f t="shared" si="66"/>
        <v>0.36980250000000003</v>
      </c>
      <c r="AO92" s="39">
        <f t="shared" si="59"/>
        <v>1.3040932183230563E-3</v>
      </c>
      <c r="AP92" s="37">
        <f t="shared" si="60"/>
        <v>0.11834775000000002</v>
      </c>
      <c r="AQ92" s="40">
        <f t="shared" si="61"/>
        <v>2.0250000000000001E-2</v>
      </c>
      <c r="AR92" s="39">
        <f t="shared" si="67"/>
        <v>0.71035014930613782</v>
      </c>
      <c r="AS92" s="37">
        <f t="shared" si="68"/>
        <v>15.299999999999999</v>
      </c>
      <c r="AT92" s="40">
        <f t="shared" si="69"/>
        <v>95.563181675093318</v>
      </c>
    </row>
    <row r="93" spans="17:46" x14ac:dyDescent="0.3">
      <c r="Q93">
        <v>86</v>
      </c>
      <c r="R93" s="39">
        <f t="shared" si="45"/>
        <v>54</v>
      </c>
      <c r="S93" s="37">
        <f t="shared" si="46"/>
        <v>0.28666666666666668</v>
      </c>
      <c r="T93" s="37">
        <f t="shared" si="47"/>
        <v>45</v>
      </c>
      <c r="U93" s="40">
        <f t="shared" si="48"/>
        <v>0.35463917525773198</v>
      </c>
      <c r="V93" s="39">
        <f t="shared" si="49"/>
        <v>2</v>
      </c>
      <c r="W93" s="37">
        <f t="shared" si="50"/>
        <v>0.16666666666666663</v>
      </c>
      <c r="X93" s="40">
        <f t="shared" si="51"/>
        <v>0.83333333333333337</v>
      </c>
      <c r="Y93" s="39">
        <f t="shared" si="52"/>
        <v>0.30096308186195819</v>
      </c>
      <c r="Z93" s="37">
        <f t="shared" si="71"/>
        <v>0.50512071618871102</v>
      </c>
      <c r="AA93" s="37">
        <f t="shared" si="72"/>
        <v>0.3651262466797911</v>
      </c>
      <c r="AB93" s="37">
        <v>0</v>
      </c>
      <c r="AC93" s="37">
        <f t="shared" si="53"/>
        <v>3.0662950483328483E-2</v>
      </c>
      <c r="AD93" s="40">
        <f t="shared" si="62"/>
        <v>3.0662950483328483E-2</v>
      </c>
      <c r="AE93" s="39">
        <f t="shared" si="70"/>
        <v>5.9106529209621984E-2</v>
      </c>
      <c r="AF93" s="37">
        <f t="shared" si="63"/>
        <v>0.14906216601051142</v>
      </c>
      <c r="AG93" s="37">
        <f t="shared" si="54"/>
        <v>1.0220983494442822E-4</v>
      </c>
      <c r="AH93" s="37">
        <f t="shared" si="55"/>
        <v>0.17255817195791676</v>
      </c>
      <c r="AI93" s="40">
        <f t="shared" si="64"/>
        <v>0.1726603817928612</v>
      </c>
      <c r="AJ93" s="39">
        <f t="shared" si="65"/>
        <v>0.29553264604810997</v>
      </c>
      <c r="AK93" s="37">
        <f t="shared" si="56"/>
        <v>0.33331313607286228</v>
      </c>
      <c r="AL93" s="37">
        <f t="shared" si="57"/>
        <v>0.129</v>
      </c>
      <c r="AM93" s="37">
        <f t="shared" si="58"/>
        <v>0.2423025</v>
      </c>
      <c r="AN93" s="40">
        <f t="shared" si="66"/>
        <v>0.37130249999999998</v>
      </c>
      <c r="AO93" s="39">
        <f t="shared" si="59"/>
        <v>1.333171760144716E-3</v>
      </c>
      <c r="AP93" s="37">
        <f t="shared" si="60"/>
        <v>0.11834775000000002</v>
      </c>
      <c r="AQ93" s="40">
        <f t="shared" si="61"/>
        <v>2.0250000000000001E-2</v>
      </c>
      <c r="AR93" s="39">
        <f t="shared" si="67"/>
        <v>0.71455675403633423</v>
      </c>
      <c r="AS93" s="37">
        <f t="shared" si="68"/>
        <v>15.48</v>
      </c>
      <c r="AT93" s="40">
        <f t="shared" si="69"/>
        <v>95.587673284986721</v>
      </c>
    </row>
    <row r="94" spans="17:46" x14ac:dyDescent="0.3">
      <c r="Q94">
        <v>87</v>
      </c>
      <c r="R94" s="39">
        <f t="shared" si="45"/>
        <v>54</v>
      </c>
      <c r="S94" s="37">
        <f t="shared" si="46"/>
        <v>0.29000000000000004</v>
      </c>
      <c r="T94" s="37">
        <f t="shared" si="47"/>
        <v>45</v>
      </c>
      <c r="U94" s="40">
        <f t="shared" si="48"/>
        <v>0.3587628865979382</v>
      </c>
      <c r="V94" s="39">
        <f t="shared" si="49"/>
        <v>2</v>
      </c>
      <c r="W94" s="37">
        <f t="shared" si="50"/>
        <v>0.16666666666666663</v>
      </c>
      <c r="X94" s="40">
        <f t="shared" si="51"/>
        <v>0.83333333333333337</v>
      </c>
      <c r="Y94" s="39">
        <f t="shared" si="52"/>
        <v>0.30096308186195819</v>
      </c>
      <c r="Z94" s="37">
        <f t="shared" si="71"/>
        <v>0.5092444275289173</v>
      </c>
      <c r="AA94" s="37">
        <f t="shared" si="72"/>
        <v>0.36913282187726465</v>
      </c>
      <c r="AB94" s="37">
        <v>0</v>
      </c>
      <c r="AC94" s="37">
        <f t="shared" si="53"/>
        <v>3.1339579243026647E-2</v>
      </c>
      <c r="AD94" s="40">
        <f t="shared" si="62"/>
        <v>3.1339579243026647E-2</v>
      </c>
      <c r="AE94" s="39">
        <f t="shared" si="70"/>
        <v>5.9793814432989686E-2</v>
      </c>
      <c r="AF94" s="37">
        <f t="shared" si="63"/>
        <v>0.15069784348549489</v>
      </c>
      <c r="AG94" s="37">
        <f t="shared" si="54"/>
        <v>1.0446526414342208E-4</v>
      </c>
      <c r="AH94" s="37">
        <f t="shared" si="55"/>
        <v>0.17456466232952042</v>
      </c>
      <c r="AI94" s="40">
        <f t="shared" si="64"/>
        <v>0.17466912759366385</v>
      </c>
      <c r="AJ94" s="39">
        <f t="shared" si="65"/>
        <v>0.2989690721649485</v>
      </c>
      <c r="AK94" s="37">
        <f t="shared" si="56"/>
        <v>0.33697062209619044</v>
      </c>
      <c r="AL94" s="37">
        <f t="shared" si="57"/>
        <v>0.13050000000000003</v>
      </c>
      <c r="AM94" s="37">
        <f t="shared" si="58"/>
        <v>0.2423025</v>
      </c>
      <c r="AN94" s="40">
        <f t="shared" si="66"/>
        <v>0.37280250000000004</v>
      </c>
      <c r="AO94" s="39">
        <f t="shared" si="59"/>
        <v>1.3625904018707228E-3</v>
      </c>
      <c r="AP94" s="37">
        <f t="shared" si="60"/>
        <v>0.11834775000000002</v>
      </c>
      <c r="AQ94" s="40">
        <f t="shared" si="61"/>
        <v>2.0250000000000001E-2</v>
      </c>
      <c r="AR94" s="39">
        <f t="shared" si="67"/>
        <v>0.71877154723856118</v>
      </c>
      <c r="AS94" s="37">
        <f t="shared" si="68"/>
        <v>15.660000000000002</v>
      </c>
      <c r="AT94" s="40">
        <f t="shared" si="69"/>
        <v>95.611566196124485</v>
      </c>
    </row>
    <row r="95" spans="17:46" x14ac:dyDescent="0.3">
      <c r="Q95">
        <v>88</v>
      </c>
      <c r="R95" s="39">
        <f t="shared" si="45"/>
        <v>54</v>
      </c>
      <c r="S95" s="37">
        <f t="shared" si="46"/>
        <v>0.29333333333333333</v>
      </c>
      <c r="T95" s="37">
        <f t="shared" si="47"/>
        <v>45</v>
      </c>
      <c r="U95" s="40">
        <f t="shared" si="48"/>
        <v>0.36288659793814432</v>
      </c>
      <c r="V95" s="39">
        <f t="shared" si="49"/>
        <v>2</v>
      </c>
      <c r="W95" s="37">
        <f t="shared" si="50"/>
        <v>0.16666666666666663</v>
      </c>
      <c r="X95" s="40">
        <f t="shared" si="51"/>
        <v>0.83333333333333337</v>
      </c>
      <c r="Y95" s="39">
        <f t="shared" si="52"/>
        <v>0.30096308186195819</v>
      </c>
      <c r="Z95" s="37">
        <f t="shared" si="71"/>
        <v>0.51336813886912336</v>
      </c>
      <c r="AA95" s="37">
        <f t="shared" si="72"/>
        <v>0.37314194933042272</v>
      </c>
      <c r="AB95" s="37">
        <v>0</v>
      </c>
      <c r="AC95" s="37">
        <f t="shared" si="53"/>
        <v>3.2024030300524788E-2</v>
      </c>
      <c r="AD95" s="40">
        <f t="shared" si="62"/>
        <v>3.2024030300524788E-2</v>
      </c>
      <c r="AE95" s="39">
        <f t="shared" si="70"/>
        <v>6.0481099656357375E-2</v>
      </c>
      <c r="AF95" s="37">
        <f t="shared" si="63"/>
        <v>0.1523345629144984</v>
      </c>
      <c r="AG95" s="37">
        <f t="shared" si="54"/>
        <v>1.0674676766841584E-4</v>
      </c>
      <c r="AH95" s="37">
        <f t="shared" si="55"/>
        <v>0.17657115270112408</v>
      </c>
      <c r="AI95" s="40">
        <f t="shared" si="64"/>
        <v>0.1766778994687925</v>
      </c>
      <c r="AJ95" s="39">
        <f t="shared" si="65"/>
        <v>0.30240549828178692</v>
      </c>
      <c r="AK95" s="37">
        <f t="shared" si="56"/>
        <v>0.34063043799953696</v>
      </c>
      <c r="AL95" s="37">
        <f t="shared" si="57"/>
        <v>0.13200000000000001</v>
      </c>
      <c r="AM95" s="37">
        <f t="shared" si="58"/>
        <v>0.2423025</v>
      </c>
      <c r="AN95" s="40">
        <f t="shared" si="66"/>
        <v>0.37430249999999998</v>
      </c>
      <c r="AO95" s="39">
        <f t="shared" si="59"/>
        <v>1.3923491435010762E-3</v>
      </c>
      <c r="AP95" s="37">
        <f t="shared" si="60"/>
        <v>0.11834775000000002</v>
      </c>
      <c r="AQ95" s="40">
        <f t="shared" si="61"/>
        <v>2.0250000000000001E-2</v>
      </c>
      <c r="AR95" s="39">
        <f t="shared" si="67"/>
        <v>0.72299452891281835</v>
      </c>
      <c r="AS95" s="37">
        <f t="shared" si="68"/>
        <v>15.84</v>
      </c>
      <c r="AT95" s="40">
        <f t="shared" si="69"/>
        <v>95.63488034937923</v>
      </c>
    </row>
    <row r="96" spans="17:46" x14ac:dyDescent="0.3">
      <c r="Q96">
        <v>89</v>
      </c>
      <c r="R96" s="39">
        <f t="shared" si="45"/>
        <v>54</v>
      </c>
      <c r="S96" s="37">
        <f t="shared" si="46"/>
        <v>0.29666666666666669</v>
      </c>
      <c r="T96" s="37">
        <f t="shared" si="47"/>
        <v>45</v>
      </c>
      <c r="U96" s="40">
        <f t="shared" si="48"/>
        <v>0.36701030927835054</v>
      </c>
      <c r="V96" s="39">
        <f t="shared" si="49"/>
        <v>2</v>
      </c>
      <c r="W96" s="37">
        <f t="shared" si="50"/>
        <v>0.16666666666666663</v>
      </c>
      <c r="X96" s="40">
        <f t="shared" si="51"/>
        <v>0.83333333333333337</v>
      </c>
      <c r="Y96" s="39">
        <f t="shared" si="52"/>
        <v>0.30096308186195819</v>
      </c>
      <c r="Z96" s="37">
        <f t="shared" si="71"/>
        <v>0.51749185020932964</v>
      </c>
      <c r="AA96" s="37">
        <f t="shared" si="72"/>
        <v>0.37715354764814008</v>
      </c>
      <c r="AB96" s="37">
        <v>0</v>
      </c>
      <c r="AC96" s="37">
        <f t="shared" si="53"/>
        <v>3.2716303655822912E-2</v>
      </c>
      <c r="AD96" s="40">
        <f t="shared" si="62"/>
        <v>3.2716303655822912E-2</v>
      </c>
      <c r="AE96" s="39">
        <f t="shared" si="70"/>
        <v>6.1168384879725077E-2</v>
      </c>
      <c r="AF96" s="37">
        <f t="shared" si="63"/>
        <v>0.15397229106973423</v>
      </c>
      <c r="AG96" s="37">
        <f t="shared" si="54"/>
        <v>1.0905434551940961E-4</v>
      </c>
      <c r="AH96" s="37">
        <f t="shared" si="55"/>
        <v>0.1785776430727278</v>
      </c>
      <c r="AI96" s="40">
        <f t="shared" si="64"/>
        <v>0.17868669741824722</v>
      </c>
      <c r="AJ96" s="39">
        <f t="shared" si="65"/>
        <v>0.30584192439862545</v>
      </c>
      <c r="AK96" s="37">
        <f t="shared" si="56"/>
        <v>0.34429250948330964</v>
      </c>
      <c r="AL96" s="37">
        <f t="shared" si="57"/>
        <v>0.13350000000000001</v>
      </c>
      <c r="AM96" s="37">
        <f t="shared" si="58"/>
        <v>0.2423025</v>
      </c>
      <c r="AN96" s="40">
        <f t="shared" si="66"/>
        <v>0.37580250000000004</v>
      </c>
      <c r="AO96" s="39">
        <f t="shared" si="59"/>
        <v>1.4224479850357776E-3</v>
      </c>
      <c r="AP96" s="37">
        <f t="shared" si="60"/>
        <v>0.11834775000000002</v>
      </c>
      <c r="AQ96" s="40">
        <f t="shared" si="61"/>
        <v>2.0250000000000001E-2</v>
      </c>
      <c r="AR96" s="39">
        <f t="shared" si="67"/>
        <v>0.72722569905910595</v>
      </c>
      <c r="AS96" s="37">
        <f t="shared" si="68"/>
        <v>16.02</v>
      </c>
      <c r="AT96" s="40">
        <f t="shared" si="69"/>
        <v>95.657634809925796</v>
      </c>
    </row>
    <row r="97" spans="17:46" x14ac:dyDescent="0.3">
      <c r="Q97">
        <v>90</v>
      </c>
      <c r="R97" s="39">
        <f t="shared" si="45"/>
        <v>54</v>
      </c>
      <c r="S97" s="37">
        <f t="shared" si="46"/>
        <v>0.30000000000000004</v>
      </c>
      <c r="T97" s="37">
        <f t="shared" si="47"/>
        <v>45</v>
      </c>
      <c r="U97" s="40">
        <f t="shared" si="48"/>
        <v>0.37113402061855677</v>
      </c>
      <c r="V97" s="39">
        <f t="shared" si="49"/>
        <v>2</v>
      </c>
      <c r="W97" s="37">
        <f t="shared" si="50"/>
        <v>0.16666666666666663</v>
      </c>
      <c r="X97" s="40">
        <f t="shared" si="51"/>
        <v>0.83333333333333337</v>
      </c>
      <c r="Y97" s="39">
        <f t="shared" si="52"/>
        <v>0.30096308186195819</v>
      </c>
      <c r="Z97" s="37">
        <f t="shared" si="71"/>
        <v>0.52161556154953592</v>
      </c>
      <c r="AA97" s="37">
        <f t="shared" si="72"/>
        <v>0.38116753881657162</v>
      </c>
      <c r="AB97" s="37">
        <v>0</v>
      </c>
      <c r="AC97" s="37">
        <f t="shared" si="53"/>
        <v>3.3416399308921006E-2</v>
      </c>
      <c r="AD97" s="40">
        <f t="shared" si="62"/>
        <v>3.3416399308921006E-2</v>
      </c>
      <c r="AE97" s="39">
        <f t="shared" si="70"/>
        <v>6.1855670103092779E-2</v>
      </c>
      <c r="AF97" s="37">
        <f t="shared" si="63"/>
        <v>0.15561099610218349</v>
      </c>
      <c r="AG97" s="37">
        <f t="shared" si="54"/>
        <v>1.1138799769640331E-4</v>
      </c>
      <c r="AH97" s="37">
        <f t="shared" si="55"/>
        <v>0.1805841334443315</v>
      </c>
      <c r="AI97" s="40">
        <f t="shared" si="64"/>
        <v>0.18069552144202791</v>
      </c>
      <c r="AJ97" s="39">
        <f t="shared" si="65"/>
        <v>0.30927835051546398</v>
      </c>
      <c r="AK97" s="37">
        <f t="shared" si="56"/>
        <v>0.34795676533093711</v>
      </c>
      <c r="AL97" s="37">
        <f t="shared" si="57"/>
        <v>0.13500000000000004</v>
      </c>
      <c r="AM97" s="37">
        <f t="shared" si="58"/>
        <v>0.2423025</v>
      </c>
      <c r="AN97" s="40">
        <f t="shared" si="66"/>
        <v>0.37730250000000004</v>
      </c>
      <c r="AO97" s="39">
        <f t="shared" si="59"/>
        <v>1.4528869264748259E-3</v>
      </c>
      <c r="AP97" s="37">
        <f t="shared" si="60"/>
        <v>0.11834775000000002</v>
      </c>
      <c r="AQ97" s="40">
        <f t="shared" si="61"/>
        <v>2.0250000000000001E-2</v>
      </c>
      <c r="AR97" s="39">
        <f t="shared" si="67"/>
        <v>0.73146505767742376</v>
      </c>
      <c r="AS97" s="37">
        <f t="shared" si="68"/>
        <v>16.200000000000003</v>
      </c>
      <c r="AT97" s="40">
        <f t="shared" si="69"/>
        <v>95.679847814789383</v>
      </c>
    </row>
    <row r="98" spans="17:46" x14ac:dyDescent="0.3">
      <c r="Q98">
        <v>91</v>
      </c>
      <c r="R98" s="39">
        <f t="shared" si="45"/>
        <v>54</v>
      </c>
      <c r="S98" s="37">
        <f t="shared" si="46"/>
        <v>0.30333333333333334</v>
      </c>
      <c r="T98" s="37">
        <f t="shared" si="47"/>
        <v>45</v>
      </c>
      <c r="U98" s="40">
        <f t="shared" si="48"/>
        <v>0.37525773195876289</v>
      </c>
      <c r="V98" s="39">
        <f t="shared" si="49"/>
        <v>2</v>
      </c>
      <c r="W98" s="37">
        <f t="shared" si="50"/>
        <v>0.16666666666666663</v>
      </c>
      <c r="X98" s="40">
        <f t="shared" si="51"/>
        <v>0.83333333333333337</v>
      </c>
      <c r="Y98" s="39">
        <f t="shared" si="52"/>
        <v>0.30096308186195819</v>
      </c>
      <c r="Z98" s="37">
        <f t="shared" si="71"/>
        <v>0.52573927288974198</v>
      </c>
      <c r="AA98" s="37">
        <f t="shared" si="72"/>
        <v>0.3851838480282137</v>
      </c>
      <c r="AB98" s="37">
        <v>0</v>
      </c>
      <c r="AC98" s="37">
        <f t="shared" si="53"/>
        <v>3.412431725981907E-2</v>
      </c>
      <c r="AD98" s="40">
        <f t="shared" si="62"/>
        <v>3.412431725981907E-2</v>
      </c>
      <c r="AE98" s="39">
        <f t="shared" si="70"/>
        <v>6.2542955326460467E-2</v>
      </c>
      <c r="AF98" s="37">
        <f t="shared" si="63"/>
        <v>0.15725064747181067</v>
      </c>
      <c r="AG98" s="37">
        <f t="shared" si="54"/>
        <v>1.1374772419939691E-4</v>
      </c>
      <c r="AH98" s="37">
        <f t="shared" si="55"/>
        <v>0.18259062381593513</v>
      </c>
      <c r="AI98" s="40">
        <f t="shared" si="64"/>
        <v>0.18270437154013452</v>
      </c>
      <c r="AJ98" s="39">
        <f t="shared" si="65"/>
        <v>0.3127147766323024</v>
      </c>
      <c r="AK98" s="37">
        <f t="shared" si="56"/>
        <v>0.35162313725282418</v>
      </c>
      <c r="AL98" s="37">
        <f t="shared" si="57"/>
        <v>0.13650000000000001</v>
      </c>
      <c r="AM98" s="37">
        <f t="shared" si="58"/>
        <v>0.2423025</v>
      </c>
      <c r="AN98" s="40">
        <f t="shared" si="66"/>
        <v>0.37880250000000004</v>
      </c>
      <c r="AO98" s="39">
        <f t="shared" si="59"/>
        <v>1.4836659678182204E-3</v>
      </c>
      <c r="AP98" s="37">
        <f t="shared" si="60"/>
        <v>0.11834775000000002</v>
      </c>
      <c r="AQ98" s="40">
        <f t="shared" si="61"/>
        <v>2.0250000000000001E-2</v>
      </c>
      <c r="AR98" s="39">
        <f t="shared" si="67"/>
        <v>0.73571260476777178</v>
      </c>
      <c r="AS98" s="37">
        <f t="shared" si="68"/>
        <v>16.38</v>
      </c>
      <c r="AT98" s="40">
        <f t="shared" si="69"/>
        <v>95.701536817328702</v>
      </c>
    </row>
    <row r="99" spans="17:46" x14ac:dyDescent="0.3">
      <c r="Q99">
        <v>92</v>
      </c>
      <c r="R99" s="39">
        <f t="shared" si="45"/>
        <v>54</v>
      </c>
      <c r="S99" s="37">
        <f t="shared" si="46"/>
        <v>0.3066666666666667</v>
      </c>
      <c r="T99" s="37">
        <f t="shared" si="47"/>
        <v>45</v>
      </c>
      <c r="U99" s="40">
        <f t="shared" si="48"/>
        <v>0.37938144329896911</v>
      </c>
      <c r="V99" s="39">
        <f t="shared" si="49"/>
        <v>2</v>
      </c>
      <c r="W99" s="37">
        <f t="shared" si="50"/>
        <v>0.16666666666666663</v>
      </c>
      <c r="X99" s="40">
        <f t="shared" si="51"/>
        <v>0.83333333333333337</v>
      </c>
      <c r="Y99" s="39">
        <f t="shared" si="52"/>
        <v>0.30096308186195819</v>
      </c>
      <c r="Z99" s="37">
        <f t="shared" si="71"/>
        <v>0.52986298422994826</v>
      </c>
      <c r="AA99" s="37">
        <f t="shared" si="72"/>
        <v>0.38920240352109364</v>
      </c>
      <c r="AB99" s="37">
        <v>0</v>
      </c>
      <c r="AC99" s="37">
        <f t="shared" si="53"/>
        <v>3.4840057508517125E-2</v>
      </c>
      <c r="AD99" s="40">
        <f t="shared" si="62"/>
        <v>3.4840057508517125E-2</v>
      </c>
      <c r="AE99" s="39">
        <f t="shared" si="70"/>
        <v>6.3230240549828176E-2</v>
      </c>
      <c r="AF99" s="37">
        <f t="shared" si="63"/>
        <v>0.15889121588191307</v>
      </c>
      <c r="AG99" s="37">
        <f t="shared" si="54"/>
        <v>1.1613352502839044E-4</v>
      </c>
      <c r="AH99" s="37">
        <f t="shared" si="55"/>
        <v>0.18459711418753885</v>
      </c>
      <c r="AI99" s="40">
        <f t="shared" si="64"/>
        <v>0.18471324771256725</v>
      </c>
      <c r="AJ99" s="39">
        <f t="shared" si="65"/>
        <v>0.31615120274914094</v>
      </c>
      <c r="AK99" s="37">
        <f t="shared" si="56"/>
        <v>0.3552915597395519</v>
      </c>
      <c r="AL99" s="37">
        <f t="shared" si="57"/>
        <v>0.13800000000000001</v>
      </c>
      <c r="AM99" s="37">
        <f t="shared" si="58"/>
        <v>0.2423025</v>
      </c>
      <c r="AN99" s="40">
        <f t="shared" si="66"/>
        <v>0.38030249999999999</v>
      </c>
      <c r="AO99" s="39">
        <f t="shared" si="59"/>
        <v>1.5147851090659623E-3</v>
      </c>
      <c r="AP99" s="37">
        <f t="shared" si="60"/>
        <v>0.11834775000000002</v>
      </c>
      <c r="AQ99" s="40">
        <f t="shared" si="61"/>
        <v>2.0250000000000001E-2</v>
      </c>
      <c r="AR99" s="39">
        <f t="shared" si="67"/>
        <v>0.73996834033015035</v>
      </c>
      <c r="AS99" s="37">
        <f t="shared" si="68"/>
        <v>16.560000000000002</v>
      </c>
      <c r="AT99" s="40">
        <f t="shared" si="69"/>
        <v>95.72271852888241</v>
      </c>
    </row>
    <row r="100" spans="17:46" x14ac:dyDescent="0.3">
      <c r="Q100">
        <v>93</v>
      </c>
      <c r="R100" s="39">
        <f t="shared" si="45"/>
        <v>54</v>
      </c>
      <c r="S100" s="37">
        <f t="shared" si="46"/>
        <v>0.31</v>
      </c>
      <c r="T100" s="37">
        <f t="shared" si="47"/>
        <v>45</v>
      </c>
      <c r="U100" s="40">
        <f t="shared" si="48"/>
        <v>0.38350515463917523</v>
      </c>
      <c r="V100" s="39">
        <f t="shared" si="49"/>
        <v>2</v>
      </c>
      <c r="W100" s="37">
        <f t="shared" si="50"/>
        <v>0.16666666666666663</v>
      </c>
      <c r="X100" s="40">
        <f t="shared" si="51"/>
        <v>0.83333333333333337</v>
      </c>
      <c r="Y100" s="39">
        <f t="shared" si="52"/>
        <v>0.30096308186195819</v>
      </c>
      <c r="Z100" s="37">
        <f t="shared" si="71"/>
        <v>0.53398669557015432</v>
      </c>
      <c r="AA100" s="37">
        <f t="shared" si="72"/>
        <v>0.39322313642740431</v>
      </c>
      <c r="AB100" s="37">
        <v>0</v>
      </c>
      <c r="AC100" s="37">
        <f t="shared" si="53"/>
        <v>3.5563620055015156E-2</v>
      </c>
      <c r="AD100" s="40">
        <f t="shared" si="62"/>
        <v>3.5563620055015156E-2</v>
      </c>
      <c r="AE100" s="39">
        <f t="shared" si="70"/>
        <v>6.3917525773195857E-2</v>
      </c>
      <c r="AF100" s="37">
        <f t="shared" si="63"/>
        <v>0.16053267321732617</v>
      </c>
      <c r="AG100" s="37">
        <f t="shared" si="54"/>
        <v>1.1854540018338381E-4</v>
      </c>
      <c r="AH100" s="37">
        <f t="shared" si="55"/>
        <v>0.18660360455914252</v>
      </c>
      <c r="AI100" s="40">
        <f t="shared" si="64"/>
        <v>0.1867221499593259</v>
      </c>
      <c r="AJ100" s="39">
        <f t="shared" si="65"/>
        <v>0.31958762886597936</v>
      </c>
      <c r="AK100" s="37">
        <f t="shared" si="56"/>
        <v>0.35896196992370122</v>
      </c>
      <c r="AL100" s="37">
        <f t="shared" si="57"/>
        <v>0.13950000000000001</v>
      </c>
      <c r="AM100" s="37">
        <f t="shared" si="58"/>
        <v>0.2423025</v>
      </c>
      <c r="AN100" s="40">
        <f t="shared" si="66"/>
        <v>0.38180250000000004</v>
      </c>
      <c r="AO100" s="39">
        <f t="shared" si="59"/>
        <v>1.5462443502180497E-3</v>
      </c>
      <c r="AP100" s="37">
        <f t="shared" si="60"/>
        <v>0.11834775000000002</v>
      </c>
      <c r="AQ100" s="40">
        <f t="shared" si="61"/>
        <v>2.0250000000000001E-2</v>
      </c>
      <c r="AR100" s="39">
        <f t="shared" si="67"/>
        <v>0.74423226436455914</v>
      </c>
      <c r="AS100" s="37">
        <f t="shared" si="68"/>
        <v>16.739999999999998</v>
      </c>
      <c r="AT100" s="40">
        <f t="shared" si="69"/>
        <v>95.743408957787551</v>
      </c>
    </row>
    <row r="101" spans="17:46" x14ac:dyDescent="0.3">
      <c r="Q101">
        <v>94</v>
      </c>
      <c r="R101" s="39">
        <f t="shared" si="45"/>
        <v>54</v>
      </c>
      <c r="S101" s="37">
        <f t="shared" si="46"/>
        <v>0.31333333333333335</v>
      </c>
      <c r="T101" s="37">
        <f t="shared" si="47"/>
        <v>45</v>
      </c>
      <c r="U101" s="40">
        <f t="shared" si="48"/>
        <v>0.38762886597938151</v>
      </c>
      <c r="V101" s="39">
        <f t="shared" si="49"/>
        <v>2</v>
      </c>
      <c r="W101" s="37">
        <f t="shared" si="50"/>
        <v>0.16666666666666663</v>
      </c>
      <c r="X101" s="40">
        <f t="shared" si="51"/>
        <v>0.83333333333333337</v>
      </c>
      <c r="Y101" s="39">
        <f t="shared" si="52"/>
        <v>0.30096308186195819</v>
      </c>
      <c r="Z101" s="37">
        <f t="shared" si="71"/>
        <v>0.53811040691036061</v>
      </c>
      <c r="AA101" s="37">
        <f t="shared" si="72"/>
        <v>0.39724598063095445</v>
      </c>
      <c r="AB101" s="37">
        <v>0</v>
      </c>
      <c r="AC101" s="37">
        <f t="shared" si="53"/>
        <v>3.6295004899313185E-2</v>
      </c>
      <c r="AD101" s="40">
        <f t="shared" si="62"/>
        <v>3.6295004899313185E-2</v>
      </c>
      <c r="AE101" s="39">
        <f t="shared" si="70"/>
        <v>6.4604810996563566E-2</v>
      </c>
      <c r="AF101" s="37">
        <f t="shared" si="63"/>
        <v>0.16217499248622799</v>
      </c>
      <c r="AG101" s="37">
        <f t="shared" si="54"/>
        <v>1.2098334966437728E-4</v>
      </c>
      <c r="AH101" s="37">
        <f t="shared" si="55"/>
        <v>0.18861009493074624</v>
      </c>
      <c r="AI101" s="40">
        <f t="shared" si="64"/>
        <v>0.18873107828041061</v>
      </c>
      <c r="AJ101" s="39">
        <f t="shared" si="65"/>
        <v>0.32302405498281794</v>
      </c>
      <c r="AK101" s="37">
        <f t="shared" si="56"/>
        <v>0.36263430744972347</v>
      </c>
      <c r="AL101" s="37">
        <f t="shared" si="57"/>
        <v>0.14100000000000001</v>
      </c>
      <c r="AM101" s="37">
        <f t="shared" si="58"/>
        <v>0.2423025</v>
      </c>
      <c r="AN101" s="40">
        <f t="shared" si="66"/>
        <v>0.38330249999999999</v>
      </c>
      <c r="AO101" s="39">
        <f t="shared" si="59"/>
        <v>1.5780436912744861E-3</v>
      </c>
      <c r="AP101" s="37">
        <f t="shared" si="60"/>
        <v>0.11834775000000002</v>
      </c>
      <c r="AQ101" s="40">
        <f t="shared" si="61"/>
        <v>2.0250000000000001E-2</v>
      </c>
      <c r="AR101" s="39">
        <f t="shared" si="67"/>
        <v>0.74850437687099824</v>
      </c>
      <c r="AS101" s="37">
        <f t="shared" si="68"/>
        <v>16.920000000000002</v>
      </c>
      <c r="AT101" s="40">
        <f t="shared" si="69"/>
        <v>95.76362344596167</v>
      </c>
    </row>
    <row r="102" spans="17:46" x14ac:dyDescent="0.3">
      <c r="Q102">
        <v>95</v>
      </c>
      <c r="R102" s="39">
        <f t="shared" si="45"/>
        <v>54</v>
      </c>
      <c r="S102" s="37">
        <f t="shared" si="46"/>
        <v>0.31666666666666671</v>
      </c>
      <c r="T102" s="37">
        <f t="shared" si="47"/>
        <v>45</v>
      </c>
      <c r="U102" s="40">
        <f t="shared" si="48"/>
        <v>0.39175257731958768</v>
      </c>
      <c r="V102" s="39">
        <f t="shared" si="49"/>
        <v>2</v>
      </c>
      <c r="W102" s="37">
        <f t="shared" si="50"/>
        <v>0.16666666666666663</v>
      </c>
      <c r="X102" s="40">
        <f t="shared" si="51"/>
        <v>0.83333333333333337</v>
      </c>
      <c r="Y102" s="39">
        <f t="shared" si="52"/>
        <v>0.30096308186195819</v>
      </c>
      <c r="Z102" s="37">
        <f t="shared" si="71"/>
        <v>0.54223411825056678</v>
      </c>
      <c r="AA102" s="37">
        <f t="shared" si="72"/>
        <v>0.40127087263284739</v>
      </c>
      <c r="AB102" s="37">
        <v>0</v>
      </c>
      <c r="AC102" s="37">
        <f t="shared" si="53"/>
        <v>3.703421204141117E-2</v>
      </c>
      <c r="AD102" s="40">
        <f t="shared" si="62"/>
        <v>3.703421204141117E-2</v>
      </c>
      <c r="AE102" s="39">
        <f t="shared" si="70"/>
        <v>6.5292096219931262E-2</v>
      </c>
      <c r="AF102" s="37">
        <f t="shared" si="63"/>
        <v>0.16381814776530243</v>
      </c>
      <c r="AG102" s="37">
        <f t="shared" si="54"/>
        <v>1.2344737347137053E-4</v>
      </c>
      <c r="AH102" s="37">
        <f t="shared" si="55"/>
        <v>0.19061658530234993</v>
      </c>
      <c r="AI102" s="40">
        <f t="shared" si="64"/>
        <v>0.19074003267582129</v>
      </c>
      <c r="AJ102" s="39">
        <f t="shared" si="65"/>
        <v>0.32646048109965642</v>
      </c>
      <c r="AK102" s="37">
        <f t="shared" si="56"/>
        <v>0.36630851435132156</v>
      </c>
      <c r="AL102" s="37">
        <f t="shared" si="57"/>
        <v>0.14250000000000002</v>
      </c>
      <c r="AM102" s="37">
        <f t="shared" si="58"/>
        <v>0.2423025</v>
      </c>
      <c r="AN102" s="40">
        <f t="shared" si="66"/>
        <v>0.38480250000000005</v>
      </c>
      <c r="AO102" s="39">
        <f t="shared" si="59"/>
        <v>1.6101831322352675E-3</v>
      </c>
      <c r="AP102" s="37">
        <f t="shared" si="60"/>
        <v>0.11834775000000002</v>
      </c>
      <c r="AQ102" s="40">
        <f t="shared" si="61"/>
        <v>2.0250000000000001E-2</v>
      </c>
      <c r="AR102" s="39">
        <f t="shared" si="67"/>
        <v>0.75278467784946779</v>
      </c>
      <c r="AS102" s="37">
        <f t="shared" si="68"/>
        <v>17.100000000000001</v>
      </c>
      <c r="AT102" s="40">
        <f t="shared" si="69"/>
        <v>95.783376703223936</v>
      </c>
    </row>
    <row r="103" spans="17:46" x14ac:dyDescent="0.3">
      <c r="Q103">
        <v>96</v>
      </c>
      <c r="R103" s="39">
        <f t="shared" si="45"/>
        <v>54</v>
      </c>
      <c r="S103" s="37">
        <f t="shared" ref="S103:S134" si="73">Q103*$O$12</f>
        <v>0.32</v>
      </c>
      <c r="T103" s="37">
        <f t="shared" si="47"/>
        <v>45</v>
      </c>
      <c r="U103" s="40">
        <f t="shared" ref="U103:U134" si="74">(R103*S103)/(T103*EFF_est)</f>
        <v>0.39587628865979385</v>
      </c>
      <c r="V103" s="39">
        <f t="shared" ref="V103:V134" si="75">IF((S103*R103/T103)&lt;((T103*(1-(T103/R103)))/(2*Lm*Fsw)),1,2)</f>
        <v>2</v>
      </c>
      <c r="W103" s="37">
        <f t="shared" ref="W103:W134" si="76">CHOOSE(V103,SQRT((2*S103*Lm*Fsw*(R103-T103))/((T103)^2)),1-(T103/R103))</f>
        <v>0.16666666666666663</v>
      </c>
      <c r="X103" s="40">
        <f t="shared" ref="X103:X134" si="77">CHOOSE(V103,(Lm*W103*Fsw)/(R103-T103),1-W103)</f>
        <v>0.83333333333333337</v>
      </c>
      <c r="Y103" s="39">
        <f t="shared" ref="Y103:Y134" si="78">(T103*W103)/(Lm*Fsw)</f>
        <v>0.30096308186195819</v>
      </c>
      <c r="Z103" s="37">
        <f t="shared" si="71"/>
        <v>0.54635782959077295</v>
      </c>
      <c r="AA103" s="37">
        <f t="shared" si="72"/>
        <v>0.40529775142485031</v>
      </c>
      <c r="AB103" s="37">
        <v>0</v>
      </c>
      <c r="AC103" s="37">
        <f t="shared" ref="AC103:AC134" si="79">(AA103^2)*Rdcr</f>
        <v>3.7781241481309139E-2</v>
      </c>
      <c r="AD103" s="40">
        <f t="shared" si="62"/>
        <v>3.7781241481309139E-2</v>
      </c>
      <c r="AE103" s="39">
        <f t="shared" si="70"/>
        <v>6.5979381443298957E-2</v>
      </c>
      <c r="AF103" s="37">
        <f t="shared" si="63"/>
        <v>0.16546211414804282</v>
      </c>
      <c r="AG103" s="37">
        <f t="shared" ref="AG103:AG134" si="80">(AF103^2)*RDS_on</f>
        <v>1.2593747160436378E-4</v>
      </c>
      <c r="AH103" s="37">
        <f t="shared" ref="AH103:AH134" si="81">((R103*U103)/2)*Fsw*(tr_sw+tf_sw)</f>
        <v>0.19262307567395359</v>
      </c>
      <c r="AI103" s="40">
        <f t="shared" si="64"/>
        <v>0.19274901314555795</v>
      </c>
      <c r="AJ103" s="39">
        <f t="shared" si="65"/>
        <v>0.32989690721649489</v>
      </c>
      <c r="AK103" s="37">
        <f t="shared" ref="AK103:AK134" si="82">CHOOSE(V103,Z103*SQRT(X103/3),SQRT(X103*((Z103^2)+((Y103^2)/3)-(Y103*Z103))))</f>
        <v>0.36998453493585354</v>
      </c>
      <c r="AL103" s="37">
        <f t="shared" ref="AL103:AL134" si="83">S103*Vd_rect</f>
        <v>0.14400000000000002</v>
      </c>
      <c r="AM103" s="37">
        <f t="shared" ref="AM103:AM134" si="84">CHOOSE(V103,(R103+Vd_rect)*Qrr*Fsw,(R103+Vd_rect)*Qrr*Fsw)</f>
        <v>0.2423025</v>
      </c>
      <c r="AN103" s="40">
        <f t="shared" si="66"/>
        <v>0.38630249999999999</v>
      </c>
      <c r="AO103" s="39">
        <f t="shared" ref="AO103:AO134" si="85">(AF103^2)*R_cs</f>
        <v>1.6426626731003971E-3</v>
      </c>
      <c r="AP103" s="37">
        <f t="shared" ref="AP103:AP134" si="86">Qg_tot*Vcc*Fsw</f>
        <v>0.11834775000000002</v>
      </c>
      <c r="AQ103" s="40">
        <f t="shared" ref="AQ103:AQ134" si="87">IQ*T103</f>
        <v>2.0250000000000001E-2</v>
      </c>
      <c r="AR103" s="39">
        <f t="shared" si="67"/>
        <v>0.75707316729996743</v>
      </c>
      <c r="AS103" s="37">
        <f t="shared" si="68"/>
        <v>17.28</v>
      </c>
      <c r="AT103" s="40">
        <f t="shared" si="69"/>
        <v>95.802682839516933</v>
      </c>
    </row>
    <row r="104" spans="17:46" x14ac:dyDescent="0.3">
      <c r="Q104">
        <v>97</v>
      </c>
      <c r="R104" s="39">
        <f t="shared" si="45"/>
        <v>54</v>
      </c>
      <c r="S104" s="37">
        <f t="shared" si="73"/>
        <v>0.32333333333333336</v>
      </c>
      <c r="T104" s="37">
        <f t="shared" si="47"/>
        <v>45</v>
      </c>
      <c r="U104" s="40">
        <f t="shared" si="74"/>
        <v>0.4</v>
      </c>
      <c r="V104" s="39">
        <f t="shared" si="75"/>
        <v>2</v>
      </c>
      <c r="W104" s="37">
        <f t="shared" si="76"/>
        <v>0.16666666666666663</v>
      </c>
      <c r="X104" s="40">
        <f t="shared" si="77"/>
        <v>0.83333333333333337</v>
      </c>
      <c r="Y104" s="39">
        <f t="shared" si="78"/>
        <v>0.30096308186195819</v>
      </c>
      <c r="Z104" s="37">
        <f t="shared" si="71"/>
        <v>0.55048154093097912</v>
      </c>
      <c r="AA104" s="37">
        <f t="shared" si="72"/>
        <v>0.40932655836994908</v>
      </c>
      <c r="AB104" s="37">
        <v>0</v>
      </c>
      <c r="AC104" s="37">
        <f t="shared" si="79"/>
        <v>3.8536093219007084E-2</v>
      </c>
      <c r="AD104" s="40">
        <f t="shared" si="62"/>
        <v>3.8536093219007084E-2</v>
      </c>
      <c r="AE104" s="39">
        <f t="shared" si="70"/>
        <v>6.6666666666666652E-2</v>
      </c>
      <c r="AF104" s="37">
        <f t="shared" si="63"/>
        <v>0.16710686769598837</v>
      </c>
      <c r="AG104" s="37">
        <f t="shared" si="80"/>
        <v>1.2845364406335698E-4</v>
      </c>
      <c r="AH104" s="37">
        <f t="shared" si="81"/>
        <v>0.19462956604555726</v>
      </c>
      <c r="AI104" s="40">
        <f t="shared" si="64"/>
        <v>0.19475801968962062</v>
      </c>
      <c r="AJ104" s="39">
        <f t="shared" si="65"/>
        <v>0.33333333333333337</v>
      </c>
      <c r="AK104" s="37">
        <f t="shared" si="82"/>
        <v>0.37366231567529368</v>
      </c>
      <c r="AL104" s="37">
        <f t="shared" si="83"/>
        <v>0.14550000000000002</v>
      </c>
      <c r="AM104" s="37">
        <f t="shared" si="84"/>
        <v>0.2423025</v>
      </c>
      <c r="AN104" s="40">
        <f t="shared" si="66"/>
        <v>0.38780250000000005</v>
      </c>
      <c r="AO104" s="39">
        <f t="shared" si="85"/>
        <v>1.6754823138698735E-3</v>
      </c>
      <c r="AP104" s="37">
        <f t="shared" si="86"/>
        <v>0.11834775000000002</v>
      </c>
      <c r="AQ104" s="40">
        <f t="shared" si="87"/>
        <v>2.0250000000000001E-2</v>
      </c>
      <c r="AR104" s="39">
        <f t="shared" si="67"/>
        <v>0.76136984522249762</v>
      </c>
      <c r="AS104" s="37">
        <f t="shared" si="68"/>
        <v>17.46</v>
      </c>
      <c r="AT104" s="40">
        <f t="shared" si="69"/>
        <v>95.821555395177256</v>
      </c>
    </row>
    <row r="105" spans="17:46" x14ac:dyDescent="0.3">
      <c r="Q105">
        <v>98</v>
      </c>
      <c r="R105" s="39">
        <f t="shared" si="45"/>
        <v>54</v>
      </c>
      <c r="S105" s="37">
        <f t="shared" si="73"/>
        <v>0.32666666666666666</v>
      </c>
      <c r="T105" s="37">
        <f t="shared" si="47"/>
        <v>45</v>
      </c>
      <c r="U105" s="40">
        <f t="shared" si="74"/>
        <v>0.40412371134020619</v>
      </c>
      <c r="V105" s="39">
        <f t="shared" si="75"/>
        <v>2</v>
      </c>
      <c r="W105" s="37">
        <f t="shared" si="76"/>
        <v>0.16666666666666663</v>
      </c>
      <c r="X105" s="40">
        <f t="shared" si="77"/>
        <v>0.83333333333333337</v>
      </c>
      <c r="Y105" s="39">
        <f t="shared" si="78"/>
        <v>0.30096308186195819</v>
      </c>
      <c r="Z105" s="37">
        <f t="shared" si="71"/>
        <v>0.55460525227118529</v>
      </c>
      <c r="AA105" s="37">
        <f t="shared" si="72"/>
        <v>0.41335723708962641</v>
      </c>
      <c r="AB105" s="37">
        <v>0</v>
      </c>
      <c r="AC105" s="37">
        <f t="shared" si="79"/>
        <v>3.9298767254505013E-2</v>
      </c>
      <c r="AD105" s="40">
        <f t="shared" si="62"/>
        <v>3.9298767254505013E-2</v>
      </c>
      <c r="AE105" s="39">
        <f t="shared" si="70"/>
        <v>6.7353951890034347E-2</v>
      </c>
      <c r="AF105" s="37">
        <f t="shared" si="63"/>
        <v>0.16875238539270568</v>
      </c>
      <c r="AG105" s="37">
        <f t="shared" si="80"/>
        <v>1.3099589084835002E-4</v>
      </c>
      <c r="AH105" s="37">
        <f t="shared" si="81"/>
        <v>0.19663605641716095</v>
      </c>
      <c r="AI105" s="40">
        <f t="shared" si="64"/>
        <v>0.19676705230800931</v>
      </c>
      <c r="AJ105" s="39">
        <f t="shared" si="65"/>
        <v>0.33676975945017185</v>
      </c>
      <c r="AK105" s="37">
        <f t="shared" si="82"/>
        <v>0.37734180510333248</v>
      </c>
      <c r="AL105" s="37">
        <f t="shared" si="83"/>
        <v>0.14699999999999999</v>
      </c>
      <c r="AM105" s="37">
        <f t="shared" si="84"/>
        <v>0.2423025</v>
      </c>
      <c r="AN105" s="40">
        <f t="shared" si="66"/>
        <v>0.3893025</v>
      </c>
      <c r="AO105" s="39">
        <f t="shared" si="85"/>
        <v>1.7086420545436957E-3</v>
      </c>
      <c r="AP105" s="37">
        <f t="shared" si="86"/>
        <v>0.11834775000000002</v>
      </c>
      <c r="AQ105" s="40">
        <f t="shared" si="87"/>
        <v>2.0250000000000001E-2</v>
      </c>
      <c r="AR105" s="39">
        <f t="shared" si="67"/>
        <v>0.76567471161705791</v>
      </c>
      <c r="AS105" s="37">
        <f t="shared" si="68"/>
        <v>17.64</v>
      </c>
      <c r="AT105" s="40">
        <f t="shared" si="69"/>
        <v>95.840007369391415</v>
      </c>
    </row>
    <row r="106" spans="17:46" x14ac:dyDescent="0.3">
      <c r="Q106">
        <v>99</v>
      </c>
      <c r="R106" s="39">
        <f t="shared" si="45"/>
        <v>54</v>
      </c>
      <c r="S106" s="37">
        <f t="shared" si="73"/>
        <v>0.33</v>
      </c>
      <c r="T106" s="37">
        <f t="shared" si="47"/>
        <v>45</v>
      </c>
      <c r="U106" s="40">
        <f t="shared" si="74"/>
        <v>0.40824742268041236</v>
      </c>
      <c r="V106" s="39">
        <f t="shared" si="75"/>
        <v>2</v>
      </c>
      <c r="W106" s="37">
        <f t="shared" si="76"/>
        <v>0.16666666666666663</v>
      </c>
      <c r="X106" s="40">
        <f t="shared" si="77"/>
        <v>0.83333333333333337</v>
      </c>
      <c r="Y106" s="39">
        <f t="shared" si="78"/>
        <v>0.30096308186195819</v>
      </c>
      <c r="Z106" s="37">
        <f t="shared" si="71"/>
        <v>0.55872896361139146</v>
      </c>
      <c r="AA106" s="37">
        <f t="shared" si="72"/>
        <v>0.41738973335743007</v>
      </c>
      <c r="AB106" s="37">
        <v>0</v>
      </c>
      <c r="AC106" s="37">
        <f t="shared" si="79"/>
        <v>4.0069263587802911E-2</v>
      </c>
      <c r="AD106" s="40">
        <f t="shared" si="62"/>
        <v>4.0069263587802911E-2</v>
      </c>
      <c r="AE106" s="39">
        <f t="shared" si="70"/>
        <v>6.8041237113402042E-2</v>
      </c>
      <c r="AF106" s="37">
        <f t="shared" si="63"/>
        <v>0.17039864510033842</v>
      </c>
      <c r="AG106" s="37">
        <f t="shared" si="80"/>
        <v>1.3356421195934301E-4</v>
      </c>
      <c r="AH106" s="37">
        <f t="shared" si="81"/>
        <v>0.19864254678876461</v>
      </c>
      <c r="AI106" s="40">
        <f t="shared" si="64"/>
        <v>0.19877611100072395</v>
      </c>
      <c r="AJ106" s="39">
        <f t="shared" si="65"/>
        <v>0.34020618556701032</v>
      </c>
      <c r="AK106" s="37">
        <f t="shared" si="82"/>
        <v>0.38102295371821826</v>
      </c>
      <c r="AL106" s="37">
        <f t="shared" si="83"/>
        <v>0.14850000000000002</v>
      </c>
      <c r="AM106" s="37">
        <f t="shared" si="84"/>
        <v>0.2423025</v>
      </c>
      <c r="AN106" s="40">
        <f t="shared" si="66"/>
        <v>0.39080250000000005</v>
      </c>
      <c r="AO106" s="39">
        <f t="shared" si="85"/>
        <v>1.7421418951218651E-3</v>
      </c>
      <c r="AP106" s="37">
        <f t="shared" si="86"/>
        <v>0.11834775000000002</v>
      </c>
      <c r="AQ106" s="40">
        <f t="shared" si="87"/>
        <v>2.0250000000000001E-2</v>
      </c>
      <c r="AR106" s="39">
        <f t="shared" si="67"/>
        <v>0.76998776648364875</v>
      </c>
      <c r="AS106" s="37">
        <f t="shared" si="68"/>
        <v>17.82</v>
      </c>
      <c r="AT106" s="40">
        <f t="shared" si="69"/>
        <v>95.858051246962745</v>
      </c>
    </row>
    <row r="107" spans="17:46" x14ac:dyDescent="0.3">
      <c r="Q107">
        <v>100</v>
      </c>
      <c r="R107" s="39">
        <f t="shared" si="45"/>
        <v>54</v>
      </c>
      <c r="S107" s="37">
        <f t="shared" si="73"/>
        <v>0.33333333333333337</v>
      </c>
      <c r="T107" s="37">
        <f t="shared" si="47"/>
        <v>45</v>
      </c>
      <c r="U107" s="40">
        <f t="shared" si="74"/>
        <v>0.41237113402061865</v>
      </c>
      <c r="V107" s="39">
        <f t="shared" si="75"/>
        <v>2</v>
      </c>
      <c r="W107" s="37">
        <f t="shared" si="76"/>
        <v>0.16666666666666663</v>
      </c>
      <c r="X107" s="40">
        <f t="shared" si="77"/>
        <v>0.83333333333333337</v>
      </c>
      <c r="Y107" s="39">
        <f t="shared" si="78"/>
        <v>0.30096308186195819</v>
      </c>
      <c r="Z107" s="37">
        <f t="shared" si="71"/>
        <v>0.56285267495159774</v>
      </c>
      <c r="AA107" s="37">
        <f t="shared" si="72"/>
        <v>0.42142399499843192</v>
      </c>
      <c r="AB107" s="37">
        <v>0</v>
      </c>
      <c r="AC107" s="37">
        <f t="shared" si="79"/>
        <v>4.0847582218900828E-2</v>
      </c>
      <c r="AD107" s="40">
        <f t="shared" si="62"/>
        <v>4.0847582218900828E-2</v>
      </c>
      <c r="AE107" s="39">
        <f t="shared" si="70"/>
        <v>6.8728522336769765E-2</v>
      </c>
      <c r="AF107" s="37">
        <f t="shared" si="63"/>
        <v>0.17204562551856134</v>
      </c>
      <c r="AG107" s="37">
        <f t="shared" si="80"/>
        <v>1.3615860739633599E-4</v>
      </c>
      <c r="AH107" s="37">
        <f t="shared" si="81"/>
        <v>0.20064903716036836</v>
      </c>
      <c r="AI107" s="40">
        <f t="shared" si="64"/>
        <v>0.20078519576776468</v>
      </c>
      <c r="AJ107" s="39">
        <f t="shared" si="65"/>
        <v>0.34364261168384891</v>
      </c>
      <c r="AK107" s="37">
        <f t="shared" si="82"/>
        <v>0.38470571389097569</v>
      </c>
      <c r="AL107" s="37">
        <f t="shared" si="83"/>
        <v>0.15000000000000002</v>
      </c>
      <c r="AM107" s="37">
        <f t="shared" si="84"/>
        <v>0.2423025</v>
      </c>
      <c r="AN107" s="40">
        <f t="shared" si="66"/>
        <v>0.3923025</v>
      </c>
      <c r="AO107" s="39">
        <f t="shared" si="85"/>
        <v>1.7759818356043826E-3</v>
      </c>
      <c r="AP107" s="37">
        <f t="shared" si="86"/>
        <v>0.11834775000000002</v>
      </c>
      <c r="AQ107" s="40">
        <f t="shared" si="87"/>
        <v>2.0250000000000001E-2</v>
      </c>
      <c r="AR107" s="39">
        <f t="shared" si="67"/>
        <v>0.77430900982226991</v>
      </c>
      <c r="AS107" s="37">
        <f t="shared" si="68"/>
        <v>18.000000000000004</v>
      </c>
      <c r="AT107" s="40">
        <f t="shared" si="69"/>
        <v>95.875699023505092</v>
      </c>
    </row>
    <row r="108" spans="17:46" x14ac:dyDescent="0.3">
      <c r="Q108">
        <v>101</v>
      </c>
      <c r="R108" s="39">
        <f t="shared" si="45"/>
        <v>54</v>
      </c>
      <c r="S108" s="37">
        <f t="shared" si="73"/>
        <v>0.33666666666666667</v>
      </c>
      <c r="T108" s="37">
        <f t="shared" si="47"/>
        <v>45</v>
      </c>
      <c r="U108" s="40">
        <f t="shared" si="74"/>
        <v>0.41649484536082476</v>
      </c>
      <c r="V108" s="39">
        <f t="shared" si="75"/>
        <v>2</v>
      </c>
      <c r="W108" s="37">
        <f t="shared" si="76"/>
        <v>0.16666666666666663</v>
      </c>
      <c r="X108" s="40">
        <f t="shared" si="77"/>
        <v>0.83333333333333337</v>
      </c>
      <c r="Y108" s="39">
        <f t="shared" si="78"/>
        <v>0.30096308186195819</v>
      </c>
      <c r="Z108" s="37">
        <f t="shared" si="71"/>
        <v>0.5669763862918038</v>
      </c>
      <c r="AA108" s="37">
        <f t="shared" si="72"/>
        <v>0.42545997179420375</v>
      </c>
      <c r="AB108" s="37">
        <v>0</v>
      </c>
      <c r="AC108" s="37">
        <f t="shared" si="79"/>
        <v>4.1633723147798674E-2</v>
      </c>
      <c r="AD108" s="40">
        <f t="shared" si="62"/>
        <v>4.1633723147798674E-2</v>
      </c>
      <c r="AE108" s="39">
        <f t="shared" si="70"/>
        <v>6.9415807560137446E-2</v>
      </c>
      <c r="AF108" s="37">
        <f t="shared" si="63"/>
        <v>0.17369330614578701</v>
      </c>
      <c r="AG108" s="37">
        <f t="shared" si="80"/>
        <v>1.3877907715932882E-4</v>
      </c>
      <c r="AH108" s="37">
        <f t="shared" si="81"/>
        <v>0.202655527531972</v>
      </c>
      <c r="AI108" s="40">
        <f t="shared" si="64"/>
        <v>0.20279430660913134</v>
      </c>
      <c r="AJ108" s="39">
        <f t="shared" si="65"/>
        <v>0.34707903780068733</v>
      </c>
      <c r="AK108" s="37">
        <f t="shared" si="82"/>
        <v>0.38839003977866182</v>
      </c>
      <c r="AL108" s="37">
        <f t="shared" si="83"/>
        <v>0.1515</v>
      </c>
      <c r="AM108" s="37">
        <f t="shared" si="84"/>
        <v>0.2423025</v>
      </c>
      <c r="AN108" s="40">
        <f t="shared" si="66"/>
        <v>0.3938025</v>
      </c>
      <c r="AO108" s="39">
        <f t="shared" si="85"/>
        <v>1.8101618759912455E-3</v>
      </c>
      <c r="AP108" s="37">
        <f t="shared" si="86"/>
        <v>0.11834775000000002</v>
      </c>
      <c r="AQ108" s="40">
        <f t="shared" si="87"/>
        <v>2.0250000000000001E-2</v>
      </c>
      <c r="AR108" s="39">
        <f t="shared" si="67"/>
        <v>0.77863844163292117</v>
      </c>
      <c r="AS108" s="37">
        <f t="shared" si="68"/>
        <v>18.18</v>
      </c>
      <c r="AT108" s="40">
        <f t="shared" si="69"/>
        <v>95.892962229170209</v>
      </c>
    </row>
    <row r="109" spans="17:46" x14ac:dyDescent="0.3">
      <c r="Q109">
        <v>102</v>
      </c>
      <c r="R109" s="39">
        <f t="shared" si="45"/>
        <v>54</v>
      </c>
      <c r="S109" s="37">
        <f t="shared" si="73"/>
        <v>0.34</v>
      </c>
      <c r="T109" s="37">
        <f t="shared" si="47"/>
        <v>45</v>
      </c>
      <c r="U109" s="40">
        <f t="shared" si="74"/>
        <v>0.42061855670103099</v>
      </c>
      <c r="V109" s="39">
        <f t="shared" si="75"/>
        <v>2</v>
      </c>
      <c r="W109" s="37">
        <f t="shared" si="76"/>
        <v>0.16666666666666663</v>
      </c>
      <c r="X109" s="40">
        <f t="shared" si="77"/>
        <v>0.83333333333333337</v>
      </c>
      <c r="Y109" s="39">
        <f t="shared" si="78"/>
        <v>0.30096308186195819</v>
      </c>
      <c r="Z109" s="37">
        <f t="shared" si="71"/>
        <v>0.57110009763201008</v>
      </c>
      <c r="AA109" s="37">
        <f t="shared" si="72"/>
        <v>0.42949761539296782</v>
      </c>
      <c r="AB109" s="37">
        <v>0</v>
      </c>
      <c r="AC109" s="37">
        <f t="shared" si="79"/>
        <v>4.2427686374496516E-2</v>
      </c>
      <c r="AD109" s="40">
        <f t="shared" si="62"/>
        <v>4.2427686374496516E-2</v>
      </c>
      <c r="AE109" s="39">
        <f t="shared" si="70"/>
        <v>7.0103092783505155E-2</v>
      </c>
      <c r="AF109" s="37">
        <f t="shared" si="63"/>
        <v>0.17534166724248487</v>
      </c>
      <c r="AG109" s="37">
        <f t="shared" si="80"/>
        <v>1.4142562124832173E-4</v>
      </c>
      <c r="AH109" s="37">
        <f t="shared" si="81"/>
        <v>0.20466201790357572</v>
      </c>
      <c r="AI109" s="40">
        <f t="shared" si="64"/>
        <v>0.20480344352482405</v>
      </c>
      <c r="AJ109" s="39">
        <f t="shared" si="65"/>
        <v>0.35051546391752586</v>
      </c>
      <c r="AK109" s="37">
        <f t="shared" si="82"/>
        <v>0.39207588724234432</v>
      </c>
      <c r="AL109" s="37">
        <f t="shared" si="83"/>
        <v>0.15300000000000002</v>
      </c>
      <c r="AM109" s="37">
        <f t="shared" si="84"/>
        <v>0.2423025</v>
      </c>
      <c r="AN109" s="40">
        <f t="shared" si="66"/>
        <v>0.3953025</v>
      </c>
      <c r="AO109" s="39">
        <f t="shared" si="85"/>
        <v>1.8446820162824574E-3</v>
      </c>
      <c r="AP109" s="37">
        <f t="shared" si="86"/>
        <v>0.11834775000000002</v>
      </c>
      <c r="AQ109" s="40">
        <f t="shared" si="87"/>
        <v>2.0250000000000001E-2</v>
      </c>
      <c r="AR109" s="39">
        <f t="shared" si="67"/>
        <v>0.78297606191560298</v>
      </c>
      <c r="AS109" s="37">
        <f t="shared" si="68"/>
        <v>18.360000000000003</v>
      </c>
      <c r="AT109" s="40">
        <f t="shared" si="69"/>
        <v>95.909851951007198</v>
      </c>
    </row>
    <row r="110" spans="17:46" x14ac:dyDescent="0.3">
      <c r="Q110">
        <v>103</v>
      </c>
      <c r="R110" s="39">
        <f t="shared" si="45"/>
        <v>54</v>
      </c>
      <c r="S110" s="37">
        <f t="shared" si="73"/>
        <v>0.34333333333333338</v>
      </c>
      <c r="T110" s="37">
        <f t="shared" si="47"/>
        <v>45</v>
      </c>
      <c r="U110" s="40">
        <f t="shared" si="74"/>
        <v>0.42474226804123721</v>
      </c>
      <c r="V110" s="39">
        <f t="shared" si="75"/>
        <v>2</v>
      </c>
      <c r="W110" s="37">
        <f t="shared" si="76"/>
        <v>0.16666666666666663</v>
      </c>
      <c r="X110" s="40">
        <f t="shared" si="77"/>
        <v>0.83333333333333337</v>
      </c>
      <c r="Y110" s="39">
        <f t="shared" si="78"/>
        <v>0.30096308186195819</v>
      </c>
      <c r="Z110" s="37">
        <f t="shared" si="71"/>
        <v>0.57522380897221637</v>
      </c>
      <c r="AA110" s="37">
        <f t="shared" si="72"/>
        <v>0.43353687922459549</v>
      </c>
      <c r="AB110" s="37">
        <v>0</v>
      </c>
      <c r="AC110" s="37">
        <f t="shared" si="79"/>
        <v>4.322947189899435E-2</v>
      </c>
      <c r="AD110" s="40">
        <f t="shared" si="62"/>
        <v>4.322947189899435E-2</v>
      </c>
      <c r="AE110" s="39">
        <f t="shared" si="70"/>
        <v>7.0790378006872851E-2</v>
      </c>
      <c r="AF110" s="37">
        <f t="shared" si="63"/>
        <v>0.17699068979647939</v>
      </c>
      <c r="AG110" s="37">
        <f t="shared" si="80"/>
        <v>1.4409823966331453E-4</v>
      </c>
      <c r="AH110" s="37">
        <f t="shared" si="81"/>
        <v>0.20666850827517935</v>
      </c>
      <c r="AI110" s="40">
        <f t="shared" si="64"/>
        <v>0.20681260651484268</v>
      </c>
      <c r="AJ110" s="39">
        <f t="shared" si="65"/>
        <v>0.35395189003436434</v>
      </c>
      <c r="AK110" s="37">
        <f t="shared" si="82"/>
        <v>0.39576321376950635</v>
      </c>
      <c r="AL110" s="37">
        <f t="shared" si="83"/>
        <v>0.15450000000000003</v>
      </c>
      <c r="AM110" s="37">
        <f t="shared" si="84"/>
        <v>0.2423025</v>
      </c>
      <c r="AN110" s="40">
        <f t="shared" si="66"/>
        <v>0.39680250000000006</v>
      </c>
      <c r="AO110" s="39">
        <f t="shared" si="85"/>
        <v>1.8795422564780158E-3</v>
      </c>
      <c r="AP110" s="37">
        <f t="shared" si="86"/>
        <v>0.11834775000000002</v>
      </c>
      <c r="AQ110" s="40">
        <f t="shared" si="87"/>
        <v>2.0250000000000001E-2</v>
      </c>
      <c r="AR110" s="39">
        <f t="shared" si="67"/>
        <v>0.78732187067031512</v>
      </c>
      <c r="AS110" s="37">
        <f t="shared" si="68"/>
        <v>18.540000000000003</v>
      </c>
      <c r="AT110" s="40">
        <f t="shared" si="69"/>
        <v>95.926378854045495</v>
      </c>
    </row>
    <row r="111" spans="17:46" x14ac:dyDescent="0.3">
      <c r="Q111">
        <v>104</v>
      </c>
      <c r="R111" s="39">
        <f t="shared" si="45"/>
        <v>54</v>
      </c>
      <c r="S111" s="37">
        <f t="shared" si="73"/>
        <v>0.34666666666666668</v>
      </c>
      <c r="T111" s="37">
        <f t="shared" si="47"/>
        <v>45</v>
      </c>
      <c r="U111" s="40">
        <f t="shared" si="74"/>
        <v>0.42886597938144327</v>
      </c>
      <c r="V111" s="39">
        <f t="shared" si="75"/>
        <v>2</v>
      </c>
      <c r="W111" s="37">
        <f t="shared" si="76"/>
        <v>0.16666666666666663</v>
      </c>
      <c r="X111" s="40">
        <f t="shared" si="77"/>
        <v>0.83333333333333337</v>
      </c>
      <c r="Y111" s="39">
        <f t="shared" si="78"/>
        <v>0.30096308186195819</v>
      </c>
      <c r="Z111" s="37">
        <f t="shared" si="71"/>
        <v>0.57934752031242231</v>
      </c>
      <c r="AA111" s="37">
        <f t="shared" si="72"/>
        <v>0.43757771842015891</v>
      </c>
      <c r="AB111" s="37">
        <v>0</v>
      </c>
      <c r="AC111" s="37">
        <f t="shared" si="79"/>
        <v>4.4039079721292132E-2</v>
      </c>
      <c r="AD111" s="40">
        <f t="shared" si="62"/>
        <v>4.4039079721292132E-2</v>
      </c>
      <c r="AE111" s="39">
        <f t="shared" si="70"/>
        <v>7.1477663230240532E-2</v>
      </c>
      <c r="AF111" s="37">
        <f t="shared" si="63"/>
        <v>0.17864035549010746</v>
      </c>
      <c r="AG111" s="37">
        <f t="shared" si="80"/>
        <v>1.4679693240430701E-4</v>
      </c>
      <c r="AH111" s="37">
        <f t="shared" si="81"/>
        <v>0.20867499864678302</v>
      </c>
      <c r="AI111" s="40">
        <f t="shared" si="64"/>
        <v>0.20882179557918731</v>
      </c>
      <c r="AJ111" s="39">
        <f t="shared" si="65"/>
        <v>0.35738831615120276</v>
      </c>
      <c r="AK111" s="37">
        <f t="shared" si="82"/>
        <v>0.39945197840060809</v>
      </c>
      <c r="AL111" s="37">
        <f t="shared" si="83"/>
        <v>0.156</v>
      </c>
      <c r="AM111" s="37">
        <f t="shared" si="84"/>
        <v>0.2423025</v>
      </c>
      <c r="AN111" s="40">
        <f t="shared" si="66"/>
        <v>0.3983025</v>
      </c>
      <c r="AO111" s="39">
        <f t="shared" si="85"/>
        <v>1.9147425965779176E-3</v>
      </c>
      <c r="AP111" s="37">
        <f t="shared" si="86"/>
        <v>0.11834775000000002</v>
      </c>
      <c r="AQ111" s="40">
        <f t="shared" si="87"/>
        <v>2.0250000000000001E-2</v>
      </c>
      <c r="AR111" s="39">
        <f t="shared" si="67"/>
        <v>0.79167586789705735</v>
      </c>
      <c r="AS111" s="37">
        <f t="shared" si="68"/>
        <v>18.72</v>
      </c>
      <c r="AT111" s="40">
        <f t="shared" si="69"/>
        <v>95.942553201185461</v>
      </c>
    </row>
    <row r="112" spans="17:46" x14ac:dyDescent="0.3">
      <c r="Q112">
        <v>105</v>
      </c>
      <c r="R112" s="39">
        <f t="shared" si="45"/>
        <v>54</v>
      </c>
      <c r="S112" s="37">
        <f t="shared" si="73"/>
        <v>0.35000000000000003</v>
      </c>
      <c r="T112" s="37">
        <f t="shared" si="47"/>
        <v>45</v>
      </c>
      <c r="U112" s="40">
        <f t="shared" si="74"/>
        <v>0.43298969072164956</v>
      </c>
      <c r="V112" s="39">
        <f t="shared" si="75"/>
        <v>2</v>
      </c>
      <c r="W112" s="37">
        <f t="shared" si="76"/>
        <v>0.16666666666666663</v>
      </c>
      <c r="X112" s="40">
        <f t="shared" si="77"/>
        <v>0.83333333333333337</v>
      </c>
      <c r="Y112" s="39">
        <f t="shared" si="78"/>
        <v>0.30096308186195819</v>
      </c>
      <c r="Z112" s="37">
        <f t="shared" si="71"/>
        <v>0.58347123165262871</v>
      </c>
      <c r="AA112" s="37">
        <f t="shared" si="72"/>
        <v>0.44162008973575584</v>
      </c>
      <c r="AB112" s="37">
        <v>0</v>
      </c>
      <c r="AC112" s="37">
        <f t="shared" si="79"/>
        <v>4.4856509841389926E-2</v>
      </c>
      <c r="AD112" s="40">
        <f t="shared" si="62"/>
        <v>4.4856509841389926E-2</v>
      </c>
      <c r="AE112" s="39">
        <f t="shared" si="70"/>
        <v>7.2164948453608241E-2</v>
      </c>
      <c r="AF112" s="37">
        <f t="shared" si="63"/>
        <v>0.18029064666912012</v>
      </c>
      <c r="AG112" s="37">
        <f t="shared" si="80"/>
        <v>1.4952169947129976E-4</v>
      </c>
      <c r="AH112" s="37">
        <f t="shared" si="81"/>
        <v>0.21068148901838674</v>
      </c>
      <c r="AI112" s="40">
        <f t="shared" si="64"/>
        <v>0.21083101071785804</v>
      </c>
      <c r="AJ112" s="39">
        <f t="shared" si="65"/>
        <v>0.36082474226804129</v>
      </c>
      <c r="AK112" s="37">
        <f t="shared" si="82"/>
        <v>0.40314214165954865</v>
      </c>
      <c r="AL112" s="37">
        <f t="shared" si="83"/>
        <v>0.15750000000000003</v>
      </c>
      <c r="AM112" s="37">
        <f t="shared" si="84"/>
        <v>0.2423025</v>
      </c>
      <c r="AN112" s="40">
        <f t="shared" si="66"/>
        <v>0.39980250000000006</v>
      </c>
      <c r="AO112" s="39">
        <f t="shared" si="85"/>
        <v>1.9502830365821708E-3</v>
      </c>
      <c r="AP112" s="37">
        <f t="shared" si="86"/>
        <v>0.11834775000000002</v>
      </c>
      <c r="AQ112" s="40">
        <f t="shared" si="87"/>
        <v>2.0250000000000001E-2</v>
      </c>
      <c r="AR112" s="39">
        <f t="shared" si="67"/>
        <v>0.79603805359583013</v>
      </c>
      <c r="AS112" s="37">
        <f t="shared" si="68"/>
        <v>18.900000000000002</v>
      </c>
      <c r="AT112" s="40">
        <f t="shared" si="69"/>
        <v>95.958384871974289</v>
      </c>
    </row>
    <row r="113" spans="17:46" x14ac:dyDescent="0.3">
      <c r="Q113">
        <v>106</v>
      </c>
      <c r="R113" s="39">
        <f t="shared" si="45"/>
        <v>54</v>
      </c>
      <c r="S113" s="37">
        <f t="shared" si="73"/>
        <v>0.35333333333333333</v>
      </c>
      <c r="T113" s="37">
        <f t="shared" si="47"/>
        <v>45</v>
      </c>
      <c r="U113" s="40">
        <f t="shared" si="74"/>
        <v>0.43711340206185567</v>
      </c>
      <c r="V113" s="39">
        <f t="shared" si="75"/>
        <v>2</v>
      </c>
      <c r="W113" s="37">
        <f t="shared" si="76"/>
        <v>0.16666666666666663</v>
      </c>
      <c r="X113" s="40">
        <f t="shared" si="77"/>
        <v>0.83333333333333337</v>
      </c>
      <c r="Y113" s="39">
        <f t="shared" si="78"/>
        <v>0.30096308186195819</v>
      </c>
      <c r="Z113" s="37">
        <f t="shared" si="71"/>
        <v>0.58759494299283477</v>
      </c>
      <c r="AA113" s="37">
        <f t="shared" si="72"/>
        <v>0.44566395148034671</v>
      </c>
      <c r="AB113" s="37">
        <v>0</v>
      </c>
      <c r="AC113" s="37">
        <f t="shared" si="79"/>
        <v>4.5681762259287668E-2</v>
      </c>
      <c r="AD113" s="40">
        <f t="shared" si="62"/>
        <v>4.5681762259287668E-2</v>
      </c>
      <c r="AE113" s="39">
        <f t="shared" si="70"/>
        <v>7.2852233676975936E-2</v>
      </c>
      <c r="AF113" s="37">
        <f t="shared" si="63"/>
        <v>0.18194154631322151</v>
      </c>
      <c r="AG113" s="37">
        <f t="shared" si="80"/>
        <v>1.5227254086429219E-4</v>
      </c>
      <c r="AH113" s="37">
        <f t="shared" si="81"/>
        <v>0.21268797938999043</v>
      </c>
      <c r="AI113" s="40">
        <f t="shared" si="64"/>
        <v>0.21284025193085471</v>
      </c>
      <c r="AJ113" s="39">
        <f t="shared" si="65"/>
        <v>0.36426116838487976</v>
      </c>
      <c r="AK113" s="37">
        <f t="shared" si="82"/>
        <v>0.4068336654877896</v>
      </c>
      <c r="AL113" s="37">
        <f t="shared" si="83"/>
        <v>0.159</v>
      </c>
      <c r="AM113" s="37">
        <f t="shared" si="84"/>
        <v>0.2423025</v>
      </c>
      <c r="AN113" s="40">
        <f t="shared" si="66"/>
        <v>0.40130250000000001</v>
      </c>
      <c r="AO113" s="39">
        <f t="shared" si="85"/>
        <v>1.9861635764907679E-3</v>
      </c>
      <c r="AP113" s="37">
        <f t="shared" si="86"/>
        <v>0.11834775000000002</v>
      </c>
      <c r="AQ113" s="40">
        <f t="shared" si="87"/>
        <v>2.0250000000000001E-2</v>
      </c>
      <c r="AR113" s="39">
        <f t="shared" si="67"/>
        <v>0.80040842776663312</v>
      </c>
      <c r="AS113" s="37">
        <f t="shared" si="68"/>
        <v>19.079999999999998</v>
      </c>
      <c r="AT113" s="40">
        <f t="shared" si="69"/>
        <v>95.973883380339828</v>
      </c>
    </row>
    <row r="114" spans="17:46" x14ac:dyDescent="0.3">
      <c r="Q114">
        <v>107</v>
      </c>
      <c r="R114" s="39">
        <f t="shared" si="45"/>
        <v>54</v>
      </c>
      <c r="S114" s="37">
        <f t="shared" si="73"/>
        <v>0.35666666666666669</v>
      </c>
      <c r="T114" s="37">
        <f t="shared" si="47"/>
        <v>45</v>
      </c>
      <c r="U114" s="40">
        <f t="shared" si="74"/>
        <v>0.4412371134020619</v>
      </c>
      <c r="V114" s="39">
        <f t="shared" si="75"/>
        <v>2</v>
      </c>
      <c r="W114" s="37">
        <f t="shared" si="76"/>
        <v>0.16666666666666663</v>
      </c>
      <c r="X114" s="40">
        <f t="shared" si="77"/>
        <v>0.83333333333333337</v>
      </c>
      <c r="Y114" s="39">
        <f t="shared" si="78"/>
        <v>0.30096308186195819</v>
      </c>
      <c r="Z114" s="37">
        <f t="shared" si="71"/>
        <v>0.59171865433304105</v>
      </c>
      <c r="AA114" s="37">
        <f t="shared" si="72"/>
        <v>0.44970926344736478</v>
      </c>
      <c r="AB114" s="37">
        <v>0</v>
      </c>
      <c r="AC114" s="37">
        <f t="shared" si="79"/>
        <v>4.6514836974985409E-2</v>
      </c>
      <c r="AD114" s="40">
        <f t="shared" si="62"/>
        <v>4.6514836974985409E-2</v>
      </c>
      <c r="AE114" s="39">
        <f t="shared" si="70"/>
        <v>7.3539518900343631E-2</v>
      </c>
      <c r="AF114" s="37">
        <f t="shared" si="63"/>
        <v>0.18359303800814969</v>
      </c>
      <c r="AG114" s="37">
        <f t="shared" si="80"/>
        <v>1.5504945658328473E-4</v>
      </c>
      <c r="AH114" s="37">
        <f t="shared" si="81"/>
        <v>0.21469446976159406</v>
      </c>
      <c r="AI114" s="40">
        <f t="shared" si="64"/>
        <v>0.21484951921817735</v>
      </c>
      <c r="AJ114" s="39">
        <f t="shared" si="65"/>
        <v>0.36769759450171824</v>
      </c>
      <c r="AK114" s="37">
        <f t="shared" si="82"/>
        <v>0.41052651318192535</v>
      </c>
      <c r="AL114" s="37">
        <f t="shared" si="83"/>
        <v>0.1605</v>
      </c>
      <c r="AM114" s="37">
        <f t="shared" si="84"/>
        <v>0.2423025</v>
      </c>
      <c r="AN114" s="40">
        <f t="shared" si="66"/>
        <v>0.40280250000000001</v>
      </c>
      <c r="AO114" s="39">
        <f t="shared" si="85"/>
        <v>2.022384216303714E-3</v>
      </c>
      <c r="AP114" s="37">
        <f t="shared" si="86"/>
        <v>0.11834775000000002</v>
      </c>
      <c r="AQ114" s="40">
        <f t="shared" si="87"/>
        <v>2.0250000000000001E-2</v>
      </c>
      <c r="AR114" s="39">
        <f t="shared" si="67"/>
        <v>0.80478699040946644</v>
      </c>
      <c r="AS114" s="37">
        <f t="shared" si="68"/>
        <v>19.260000000000002</v>
      </c>
      <c r="AT114" s="40">
        <f t="shared" si="69"/>
        <v>95.989057891348978</v>
      </c>
    </row>
    <row r="115" spans="17:46" x14ac:dyDescent="0.3">
      <c r="Q115">
        <v>108</v>
      </c>
      <c r="R115" s="39">
        <f t="shared" si="45"/>
        <v>54</v>
      </c>
      <c r="S115" s="37">
        <f t="shared" si="73"/>
        <v>0.36000000000000004</v>
      </c>
      <c r="T115" s="37">
        <f t="shared" si="47"/>
        <v>45</v>
      </c>
      <c r="U115" s="40">
        <f t="shared" si="74"/>
        <v>0.44536082474226807</v>
      </c>
      <c r="V115" s="39">
        <f t="shared" si="75"/>
        <v>2</v>
      </c>
      <c r="W115" s="37">
        <f t="shared" si="76"/>
        <v>0.16666666666666663</v>
      </c>
      <c r="X115" s="40">
        <f t="shared" si="77"/>
        <v>0.83333333333333337</v>
      </c>
      <c r="Y115" s="39">
        <f t="shared" si="78"/>
        <v>0.30096308186195819</v>
      </c>
      <c r="Z115" s="37">
        <f t="shared" si="71"/>
        <v>0.59584236567324722</v>
      </c>
      <c r="AA115" s="37">
        <f t="shared" si="72"/>
        <v>0.45375598684987128</v>
      </c>
      <c r="AB115" s="37">
        <v>0</v>
      </c>
      <c r="AC115" s="37">
        <f t="shared" si="79"/>
        <v>4.7355733988483133E-2</v>
      </c>
      <c r="AD115" s="40">
        <f t="shared" si="62"/>
        <v>4.7355733988483133E-2</v>
      </c>
      <c r="AE115" s="39">
        <f t="shared" si="70"/>
        <v>7.4226804123711326E-2</v>
      </c>
      <c r="AF115" s="37">
        <f t="shared" si="63"/>
        <v>0.18524510591920304</v>
      </c>
      <c r="AG115" s="37">
        <f t="shared" si="80"/>
        <v>1.5785244662827708E-4</v>
      </c>
      <c r="AH115" s="37">
        <f t="shared" si="81"/>
        <v>0.21670096013319776</v>
      </c>
      <c r="AI115" s="40">
        <f t="shared" si="64"/>
        <v>0.21685881257982603</v>
      </c>
      <c r="AJ115" s="39">
        <f t="shared" si="65"/>
        <v>0.37113402061855671</v>
      </c>
      <c r="AK115" s="37">
        <f t="shared" si="82"/>
        <v>0.41422064933448666</v>
      </c>
      <c r="AL115" s="37">
        <f t="shared" si="83"/>
        <v>0.16200000000000003</v>
      </c>
      <c r="AM115" s="37">
        <f t="shared" si="84"/>
        <v>0.2423025</v>
      </c>
      <c r="AN115" s="40">
        <f t="shared" si="66"/>
        <v>0.40430250000000001</v>
      </c>
      <c r="AO115" s="39">
        <f t="shared" si="85"/>
        <v>2.0589449560210055E-3</v>
      </c>
      <c r="AP115" s="37">
        <f t="shared" si="86"/>
        <v>0.11834775000000002</v>
      </c>
      <c r="AQ115" s="40">
        <f t="shared" si="87"/>
        <v>2.0250000000000001E-2</v>
      </c>
      <c r="AR115" s="39">
        <f t="shared" si="67"/>
        <v>0.80917374152433008</v>
      </c>
      <c r="AS115" s="37">
        <f t="shared" si="68"/>
        <v>19.440000000000001</v>
      </c>
      <c r="AT115" s="40">
        <f t="shared" si="69"/>
        <v>96.003917237052576</v>
      </c>
    </row>
    <row r="116" spans="17:46" x14ac:dyDescent="0.3">
      <c r="Q116">
        <v>109</v>
      </c>
      <c r="R116" s="39">
        <f t="shared" si="45"/>
        <v>54</v>
      </c>
      <c r="S116" s="37">
        <f t="shared" si="73"/>
        <v>0.36333333333333334</v>
      </c>
      <c r="T116" s="37">
        <f t="shared" si="47"/>
        <v>45</v>
      </c>
      <c r="U116" s="40">
        <f t="shared" si="74"/>
        <v>0.44948453608247424</v>
      </c>
      <c r="V116" s="39">
        <f t="shared" si="75"/>
        <v>2</v>
      </c>
      <c r="W116" s="37">
        <f t="shared" si="76"/>
        <v>0.16666666666666663</v>
      </c>
      <c r="X116" s="40">
        <f t="shared" si="77"/>
        <v>0.83333333333333337</v>
      </c>
      <c r="Y116" s="39">
        <f t="shared" si="78"/>
        <v>0.30096308186195819</v>
      </c>
      <c r="Z116" s="37">
        <f t="shared" si="71"/>
        <v>0.59996607701345339</v>
      </c>
      <c r="AA116" s="37">
        <f t="shared" si="72"/>
        <v>0.45780408425904678</v>
      </c>
      <c r="AB116" s="37">
        <v>0</v>
      </c>
      <c r="AC116" s="37">
        <f t="shared" si="79"/>
        <v>4.8204453299780813E-2</v>
      </c>
      <c r="AD116" s="40">
        <f t="shared" si="62"/>
        <v>4.8204453299780813E-2</v>
      </c>
      <c r="AE116" s="39">
        <f t="shared" si="70"/>
        <v>7.4914089347079021E-2</v>
      </c>
      <c r="AF116" s="37">
        <f t="shared" si="63"/>
        <v>0.18689773476613014</v>
      </c>
      <c r="AG116" s="37">
        <f t="shared" si="80"/>
        <v>1.6068151099926938E-4</v>
      </c>
      <c r="AH116" s="37">
        <f t="shared" si="81"/>
        <v>0.21870745050480145</v>
      </c>
      <c r="AI116" s="40">
        <f t="shared" si="64"/>
        <v>0.21886813201580071</v>
      </c>
      <c r="AJ116" s="39">
        <f t="shared" si="65"/>
        <v>0.37457044673539519</v>
      </c>
      <c r="AK116" s="37">
        <f t="shared" si="82"/>
        <v>0.41791603977779279</v>
      </c>
      <c r="AL116" s="37">
        <f t="shared" si="83"/>
        <v>0.16350000000000001</v>
      </c>
      <c r="AM116" s="37">
        <f t="shared" si="84"/>
        <v>0.2423025</v>
      </c>
      <c r="AN116" s="40">
        <f t="shared" si="66"/>
        <v>0.40580250000000001</v>
      </c>
      <c r="AO116" s="39">
        <f t="shared" si="85"/>
        <v>2.095845795642644E-3</v>
      </c>
      <c r="AP116" s="37">
        <f t="shared" si="86"/>
        <v>0.11834775000000002</v>
      </c>
      <c r="AQ116" s="40">
        <f t="shared" si="87"/>
        <v>2.0250000000000001E-2</v>
      </c>
      <c r="AR116" s="39">
        <f t="shared" si="67"/>
        <v>0.81356868111122416</v>
      </c>
      <c r="AS116" s="37">
        <f t="shared" si="68"/>
        <v>19.62</v>
      </c>
      <c r="AT116" s="40">
        <f t="shared" si="69"/>
        <v>96.018469931474641</v>
      </c>
    </row>
    <row r="117" spans="17:46" x14ac:dyDescent="0.3">
      <c r="Q117">
        <v>110</v>
      </c>
      <c r="R117" s="39">
        <f t="shared" si="45"/>
        <v>54</v>
      </c>
      <c r="S117" s="37">
        <f t="shared" si="73"/>
        <v>0.3666666666666667</v>
      </c>
      <c r="T117" s="37">
        <f t="shared" si="47"/>
        <v>45</v>
      </c>
      <c r="U117" s="40">
        <f t="shared" si="74"/>
        <v>0.45360824742268047</v>
      </c>
      <c r="V117" s="39">
        <f t="shared" si="75"/>
        <v>2</v>
      </c>
      <c r="W117" s="37">
        <f t="shared" si="76"/>
        <v>0.16666666666666663</v>
      </c>
      <c r="X117" s="40">
        <f t="shared" si="77"/>
        <v>0.83333333333333337</v>
      </c>
      <c r="Y117" s="39">
        <f t="shared" si="78"/>
        <v>0.30096308186195819</v>
      </c>
      <c r="Z117" s="37">
        <f t="shared" si="71"/>
        <v>0.60408978835365956</v>
      </c>
      <c r="AA117" s="37">
        <f t="shared" si="72"/>
        <v>0.46185351954582204</v>
      </c>
      <c r="AB117" s="37">
        <v>0</v>
      </c>
      <c r="AC117" s="37">
        <f t="shared" si="79"/>
        <v>4.9060994908878497E-2</v>
      </c>
      <c r="AD117" s="40">
        <f t="shared" si="62"/>
        <v>4.9060994908878497E-2</v>
      </c>
      <c r="AE117" s="39">
        <f t="shared" si="70"/>
        <v>7.560137457044673E-2</v>
      </c>
      <c r="AF117" s="37">
        <f t="shared" si="63"/>
        <v>0.18855090979930017</v>
      </c>
      <c r="AG117" s="37">
        <f t="shared" si="80"/>
        <v>1.6353664969626162E-4</v>
      </c>
      <c r="AH117" s="37">
        <f t="shared" si="81"/>
        <v>0.22071394087640514</v>
      </c>
      <c r="AI117" s="40">
        <f t="shared" si="64"/>
        <v>0.2208774775261014</v>
      </c>
      <c r="AJ117" s="39">
        <f t="shared" si="65"/>
        <v>0.37800687285223372</v>
      </c>
      <c r="AK117" s="37">
        <f t="shared" si="82"/>
        <v>0.42161265153066646</v>
      </c>
      <c r="AL117" s="37">
        <f t="shared" si="83"/>
        <v>0.16500000000000001</v>
      </c>
      <c r="AM117" s="37">
        <f t="shared" si="84"/>
        <v>0.2423025</v>
      </c>
      <c r="AN117" s="40">
        <f t="shared" si="66"/>
        <v>0.40730250000000001</v>
      </c>
      <c r="AO117" s="39">
        <f t="shared" si="85"/>
        <v>2.1330867351686297E-3</v>
      </c>
      <c r="AP117" s="37">
        <f t="shared" si="86"/>
        <v>0.11834775000000002</v>
      </c>
      <c r="AQ117" s="40">
        <f t="shared" si="87"/>
        <v>2.0250000000000001E-2</v>
      </c>
      <c r="AR117" s="39">
        <f t="shared" si="67"/>
        <v>0.81797180917014856</v>
      </c>
      <c r="AS117" s="37">
        <f t="shared" si="68"/>
        <v>19.8</v>
      </c>
      <c r="AT117" s="40">
        <f t="shared" si="69"/>
        <v>96.032724184799093</v>
      </c>
    </row>
    <row r="118" spans="17:46" x14ac:dyDescent="0.3">
      <c r="Q118">
        <v>111</v>
      </c>
      <c r="R118" s="39">
        <f t="shared" si="45"/>
        <v>54</v>
      </c>
      <c r="S118" s="37">
        <f t="shared" si="73"/>
        <v>0.37000000000000005</v>
      </c>
      <c r="T118" s="37">
        <f t="shared" si="47"/>
        <v>45</v>
      </c>
      <c r="U118" s="40">
        <f t="shared" si="74"/>
        <v>0.45773195876288669</v>
      </c>
      <c r="V118" s="39">
        <f t="shared" si="75"/>
        <v>2</v>
      </c>
      <c r="W118" s="37">
        <f t="shared" si="76"/>
        <v>0.16666666666666663</v>
      </c>
      <c r="X118" s="40">
        <f t="shared" si="77"/>
        <v>0.83333333333333337</v>
      </c>
      <c r="Y118" s="39">
        <f t="shared" si="78"/>
        <v>0.30096308186195819</v>
      </c>
      <c r="Z118" s="37">
        <f t="shared" si="71"/>
        <v>0.60821349969386573</v>
      </c>
      <c r="AA118" s="37">
        <f t="shared" si="72"/>
        <v>0.46590425782546391</v>
      </c>
      <c r="AB118" s="37">
        <v>0</v>
      </c>
      <c r="AC118" s="37">
        <f t="shared" si="79"/>
        <v>4.9925358815776165E-2</v>
      </c>
      <c r="AD118" s="40">
        <f t="shared" si="62"/>
        <v>4.9925358815776165E-2</v>
      </c>
      <c r="AE118" s="39">
        <f t="shared" si="70"/>
        <v>7.6288659793814426E-2</v>
      </c>
      <c r="AF118" s="37">
        <f t="shared" si="63"/>
        <v>0.19020461677708045</v>
      </c>
      <c r="AG118" s="37">
        <f t="shared" si="80"/>
        <v>1.6641786271925373E-4</v>
      </c>
      <c r="AH118" s="37">
        <f t="shared" si="81"/>
        <v>0.22272043124800886</v>
      </c>
      <c r="AI118" s="40">
        <f t="shared" si="64"/>
        <v>0.22288684911072812</v>
      </c>
      <c r="AJ118" s="39">
        <f t="shared" si="65"/>
        <v>0.38144329896907225</v>
      </c>
      <c r="AK118" s="37">
        <f t="shared" si="82"/>
        <v>0.4253104527478489</v>
      </c>
      <c r="AL118" s="37">
        <f t="shared" si="83"/>
        <v>0.16650000000000004</v>
      </c>
      <c r="AM118" s="37">
        <f t="shared" si="84"/>
        <v>0.2423025</v>
      </c>
      <c r="AN118" s="40">
        <f t="shared" si="66"/>
        <v>0.40880250000000007</v>
      </c>
      <c r="AO118" s="39">
        <f t="shared" si="85"/>
        <v>2.1706677745989621E-3</v>
      </c>
      <c r="AP118" s="37">
        <f t="shared" si="86"/>
        <v>0.11834775000000002</v>
      </c>
      <c r="AQ118" s="40">
        <f t="shared" si="87"/>
        <v>2.0250000000000001E-2</v>
      </c>
      <c r="AR118" s="39">
        <f t="shared" si="67"/>
        <v>0.82238312570110328</v>
      </c>
      <c r="AS118" s="37">
        <f t="shared" si="68"/>
        <v>19.980000000000004</v>
      </c>
      <c r="AT118" s="40">
        <f t="shared" si="69"/>
        <v>96.046687916803819</v>
      </c>
    </row>
    <row r="119" spans="17:46" x14ac:dyDescent="0.3">
      <c r="Q119">
        <v>112</v>
      </c>
      <c r="R119" s="39">
        <f t="shared" si="45"/>
        <v>54</v>
      </c>
      <c r="S119" s="37">
        <f t="shared" si="73"/>
        <v>0.37333333333333335</v>
      </c>
      <c r="T119" s="37">
        <f t="shared" si="47"/>
        <v>45</v>
      </c>
      <c r="U119" s="40">
        <f t="shared" si="74"/>
        <v>0.46185567010309281</v>
      </c>
      <c r="V119" s="39">
        <f t="shared" si="75"/>
        <v>2</v>
      </c>
      <c r="W119" s="37">
        <f t="shared" si="76"/>
        <v>0.16666666666666663</v>
      </c>
      <c r="X119" s="40">
        <f t="shared" si="77"/>
        <v>0.83333333333333337</v>
      </c>
      <c r="Y119" s="39">
        <f t="shared" si="78"/>
        <v>0.30096308186195819</v>
      </c>
      <c r="Z119" s="37">
        <f t="shared" si="71"/>
        <v>0.6123372110340719</v>
      </c>
      <c r="AA119" s="37">
        <f t="shared" si="72"/>
        <v>0.46995626540494617</v>
      </c>
      <c r="AB119" s="37">
        <v>0</v>
      </c>
      <c r="AC119" s="37">
        <f t="shared" si="79"/>
        <v>5.0797545020473768E-2</v>
      </c>
      <c r="AD119" s="40">
        <f t="shared" si="62"/>
        <v>5.0797545020473768E-2</v>
      </c>
      <c r="AE119" s="39">
        <f t="shared" si="70"/>
        <v>7.6975945017182121E-2</v>
      </c>
      <c r="AF119" s="37">
        <f t="shared" si="63"/>
        <v>0.19185884194435074</v>
      </c>
      <c r="AG119" s="37">
        <f t="shared" si="80"/>
        <v>1.6932515006824584E-4</v>
      </c>
      <c r="AH119" s="37">
        <f t="shared" si="81"/>
        <v>0.2247269216196125</v>
      </c>
      <c r="AI119" s="40">
        <f t="shared" si="64"/>
        <v>0.22489624676968073</v>
      </c>
      <c r="AJ119" s="39">
        <f t="shared" si="65"/>
        <v>0.38487972508591067</v>
      </c>
      <c r="AK119" s="37">
        <f t="shared" si="82"/>
        <v>0.42900941267195625</v>
      </c>
      <c r="AL119" s="37">
        <f t="shared" si="83"/>
        <v>0.16800000000000001</v>
      </c>
      <c r="AM119" s="37">
        <f t="shared" si="84"/>
        <v>0.2423025</v>
      </c>
      <c r="AN119" s="40">
        <f t="shared" si="66"/>
        <v>0.41030250000000001</v>
      </c>
      <c r="AO119" s="39">
        <f t="shared" si="85"/>
        <v>2.2085889139336415E-3</v>
      </c>
      <c r="AP119" s="37">
        <f t="shared" si="86"/>
        <v>0.11834775000000002</v>
      </c>
      <c r="AQ119" s="40">
        <f t="shared" si="87"/>
        <v>2.0250000000000001E-2</v>
      </c>
      <c r="AR119" s="39">
        <f t="shared" si="67"/>
        <v>0.8268026307040881</v>
      </c>
      <c r="AS119" s="37">
        <f t="shared" si="68"/>
        <v>20.16</v>
      </c>
      <c r="AT119" s="40">
        <f t="shared" si="69"/>
        <v>96.06036876958828</v>
      </c>
    </row>
    <row r="120" spans="17:46" x14ac:dyDescent="0.3">
      <c r="Q120">
        <v>113</v>
      </c>
      <c r="R120" s="39">
        <f t="shared" si="45"/>
        <v>54</v>
      </c>
      <c r="S120" s="37">
        <f t="shared" si="73"/>
        <v>0.37666666666666671</v>
      </c>
      <c r="T120" s="37">
        <f t="shared" si="47"/>
        <v>45</v>
      </c>
      <c r="U120" s="40">
        <f t="shared" si="74"/>
        <v>0.46597938144329909</v>
      </c>
      <c r="V120" s="39">
        <f t="shared" si="75"/>
        <v>2</v>
      </c>
      <c r="W120" s="37">
        <f t="shared" si="76"/>
        <v>0.16666666666666663</v>
      </c>
      <c r="X120" s="40">
        <f t="shared" si="77"/>
        <v>0.83333333333333337</v>
      </c>
      <c r="Y120" s="39">
        <f t="shared" si="78"/>
        <v>0.30096308186195819</v>
      </c>
      <c r="Z120" s="37">
        <f t="shared" si="71"/>
        <v>0.61646092237427819</v>
      </c>
      <c r="AA120" s="37">
        <f t="shared" si="72"/>
        <v>0.47400950973294509</v>
      </c>
      <c r="AB120" s="37">
        <v>0</v>
      </c>
      <c r="AC120" s="37">
        <f t="shared" si="79"/>
        <v>5.167755352297141E-2</v>
      </c>
      <c r="AD120" s="40">
        <f t="shared" si="62"/>
        <v>5.167755352297141E-2</v>
      </c>
      <c r="AE120" s="39">
        <f t="shared" si="70"/>
        <v>7.766323024054983E-2</v>
      </c>
      <c r="AF120" s="37">
        <f t="shared" si="63"/>
        <v>0.1935135720120886</v>
      </c>
      <c r="AG120" s="37">
        <f t="shared" si="80"/>
        <v>1.7225851174323788E-4</v>
      </c>
      <c r="AH120" s="37">
        <f t="shared" si="81"/>
        <v>0.22673341199121622</v>
      </c>
      <c r="AI120" s="40">
        <f t="shared" si="64"/>
        <v>0.22690567050295946</v>
      </c>
      <c r="AJ120" s="39">
        <f t="shared" si="65"/>
        <v>0.38831615120274926</v>
      </c>
      <c r="AK120" s="37">
        <f t="shared" si="82"/>
        <v>0.43270950158783095</v>
      </c>
      <c r="AL120" s="37">
        <f t="shared" si="83"/>
        <v>0.16950000000000001</v>
      </c>
      <c r="AM120" s="37">
        <f t="shared" si="84"/>
        <v>0.2423025</v>
      </c>
      <c r="AN120" s="40">
        <f t="shared" si="66"/>
        <v>0.41180250000000002</v>
      </c>
      <c r="AO120" s="39">
        <f t="shared" si="85"/>
        <v>2.246850153172668E-3</v>
      </c>
      <c r="AP120" s="37">
        <f t="shared" si="86"/>
        <v>0.11834775000000002</v>
      </c>
      <c r="AQ120" s="40">
        <f t="shared" si="87"/>
        <v>2.0250000000000001E-2</v>
      </c>
      <c r="AR120" s="39">
        <f t="shared" si="67"/>
        <v>0.83123032417910347</v>
      </c>
      <c r="AS120" s="37">
        <f t="shared" si="68"/>
        <v>20.340000000000003</v>
      </c>
      <c r="AT120" s="40">
        <f t="shared" si="69"/>
        <v>96.073774119637363</v>
      </c>
    </row>
    <row r="121" spans="17:46" x14ac:dyDescent="0.3">
      <c r="Q121">
        <v>114</v>
      </c>
      <c r="R121" s="39">
        <f t="shared" si="45"/>
        <v>54</v>
      </c>
      <c r="S121" s="37">
        <f t="shared" si="73"/>
        <v>0.38</v>
      </c>
      <c r="T121" s="37">
        <f t="shared" si="47"/>
        <v>45</v>
      </c>
      <c r="U121" s="40">
        <f t="shared" si="74"/>
        <v>0.47010309278350515</v>
      </c>
      <c r="V121" s="39">
        <f t="shared" si="75"/>
        <v>2</v>
      </c>
      <c r="W121" s="37">
        <f t="shared" si="76"/>
        <v>0.16666666666666663</v>
      </c>
      <c r="X121" s="40">
        <f t="shared" si="77"/>
        <v>0.83333333333333337</v>
      </c>
      <c r="Y121" s="39">
        <f t="shared" si="78"/>
        <v>0.30096308186195819</v>
      </c>
      <c r="Z121" s="37">
        <f t="shared" si="71"/>
        <v>0.62058463371448425</v>
      </c>
      <c r="AA121" s="37">
        <f t="shared" si="72"/>
        <v>0.47806395935230694</v>
      </c>
      <c r="AB121" s="37">
        <v>0</v>
      </c>
      <c r="AC121" s="37">
        <f t="shared" si="79"/>
        <v>5.2565384323268967E-2</v>
      </c>
      <c r="AD121" s="40">
        <f t="shared" si="62"/>
        <v>5.2565384323268967E-2</v>
      </c>
      <c r="AE121" s="39">
        <f t="shared" si="70"/>
        <v>7.8350515463917511E-2</v>
      </c>
      <c r="AF121" s="37">
        <f t="shared" si="63"/>
        <v>0.19516879413796495</v>
      </c>
      <c r="AG121" s="37">
        <f t="shared" si="80"/>
        <v>1.7521794774422978E-4</v>
      </c>
      <c r="AH121" s="37">
        <f t="shared" si="81"/>
        <v>0.22873990236281982</v>
      </c>
      <c r="AI121" s="40">
        <f t="shared" si="64"/>
        <v>0.22891512031056405</v>
      </c>
      <c r="AJ121" s="39">
        <f t="shared" si="65"/>
        <v>0.39175257731958762</v>
      </c>
      <c r="AK121" s="37">
        <f t="shared" si="82"/>
        <v>0.43641069077915218</v>
      </c>
      <c r="AL121" s="37">
        <f t="shared" si="83"/>
        <v>0.17100000000000001</v>
      </c>
      <c r="AM121" s="37">
        <f t="shared" si="84"/>
        <v>0.2423025</v>
      </c>
      <c r="AN121" s="40">
        <f t="shared" si="66"/>
        <v>0.41330250000000002</v>
      </c>
      <c r="AO121" s="39">
        <f t="shared" si="85"/>
        <v>2.2854514923160403E-3</v>
      </c>
      <c r="AP121" s="37">
        <f t="shared" si="86"/>
        <v>0.11834775000000002</v>
      </c>
      <c r="AQ121" s="40">
        <f t="shared" si="87"/>
        <v>2.0250000000000001E-2</v>
      </c>
      <c r="AR121" s="39">
        <f t="shared" si="67"/>
        <v>0.83566620612614906</v>
      </c>
      <c r="AS121" s="37">
        <f t="shared" si="68"/>
        <v>20.52</v>
      </c>
      <c r="AT121" s="40">
        <f t="shared" si="69"/>
        <v>96.086911089261989</v>
      </c>
    </row>
    <row r="122" spans="17:46" x14ac:dyDescent="0.3">
      <c r="Q122">
        <v>115</v>
      </c>
      <c r="R122" s="39">
        <f t="shared" si="45"/>
        <v>54</v>
      </c>
      <c r="S122" s="37">
        <f t="shared" si="73"/>
        <v>0.38333333333333336</v>
      </c>
      <c r="T122" s="37">
        <f t="shared" si="47"/>
        <v>45</v>
      </c>
      <c r="U122" s="40">
        <f t="shared" si="74"/>
        <v>0.47422680412371143</v>
      </c>
      <c r="V122" s="39">
        <f t="shared" si="75"/>
        <v>2</v>
      </c>
      <c r="W122" s="37">
        <f t="shared" si="76"/>
        <v>0.16666666666666663</v>
      </c>
      <c r="X122" s="40">
        <f t="shared" si="77"/>
        <v>0.83333333333333337</v>
      </c>
      <c r="Y122" s="39">
        <f t="shared" si="78"/>
        <v>0.30096308186195819</v>
      </c>
      <c r="Z122" s="37">
        <f t="shared" si="71"/>
        <v>0.62470834505469053</v>
      </c>
      <c r="AA122" s="37">
        <f t="shared" si="72"/>
        <v>0.48211958385485265</v>
      </c>
      <c r="AB122" s="37">
        <v>0</v>
      </c>
      <c r="AC122" s="37">
        <f t="shared" si="79"/>
        <v>5.3461037421366549E-2</v>
      </c>
      <c r="AD122" s="40">
        <f t="shared" si="62"/>
        <v>5.3461037421366549E-2</v>
      </c>
      <c r="AE122" s="39">
        <f t="shared" si="70"/>
        <v>7.903780068728522E-2</v>
      </c>
      <c r="AF122" s="37">
        <f t="shared" si="63"/>
        <v>0.19682449590789261</v>
      </c>
      <c r="AG122" s="37">
        <f t="shared" si="80"/>
        <v>1.7820345807122176E-4</v>
      </c>
      <c r="AH122" s="37">
        <f t="shared" si="81"/>
        <v>0.2307463927344236</v>
      </c>
      <c r="AI122" s="40">
        <f t="shared" si="64"/>
        <v>0.23092459619249484</v>
      </c>
      <c r="AJ122" s="39">
        <f t="shared" si="65"/>
        <v>0.39518900343642621</v>
      </c>
      <c r="AK122" s="37">
        <f t="shared" si="82"/>
        <v>0.44011295248717713</v>
      </c>
      <c r="AL122" s="37">
        <f t="shared" si="83"/>
        <v>0.17250000000000001</v>
      </c>
      <c r="AM122" s="37">
        <f t="shared" si="84"/>
        <v>0.2423025</v>
      </c>
      <c r="AN122" s="40">
        <f t="shared" si="66"/>
        <v>0.41480250000000002</v>
      </c>
      <c r="AO122" s="39">
        <f t="shared" si="85"/>
        <v>2.3243929313637619E-3</v>
      </c>
      <c r="AP122" s="37">
        <f t="shared" si="86"/>
        <v>0.11834775000000002</v>
      </c>
      <c r="AQ122" s="40">
        <f t="shared" si="87"/>
        <v>2.0250000000000001E-2</v>
      </c>
      <c r="AR122" s="39">
        <f t="shared" si="67"/>
        <v>0.84011027654522519</v>
      </c>
      <c r="AS122" s="37">
        <f t="shared" si="68"/>
        <v>20.700000000000003</v>
      </c>
      <c r="AT122" s="40">
        <f t="shared" si="69"/>
        <v>96.099786557453186</v>
      </c>
    </row>
    <row r="123" spans="17:46" x14ac:dyDescent="0.3">
      <c r="Q123">
        <v>116</v>
      </c>
      <c r="R123" s="39">
        <f t="shared" si="45"/>
        <v>54</v>
      </c>
      <c r="S123" s="37">
        <f t="shared" si="73"/>
        <v>0.38666666666666671</v>
      </c>
      <c r="T123" s="37">
        <f t="shared" si="47"/>
        <v>45</v>
      </c>
      <c r="U123" s="40">
        <f t="shared" si="74"/>
        <v>0.4783505154639176</v>
      </c>
      <c r="V123" s="39">
        <f t="shared" si="75"/>
        <v>2</v>
      </c>
      <c r="W123" s="37">
        <f t="shared" si="76"/>
        <v>0.16666666666666663</v>
      </c>
      <c r="X123" s="40">
        <f t="shared" si="77"/>
        <v>0.83333333333333337</v>
      </c>
      <c r="Y123" s="39">
        <f t="shared" si="78"/>
        <v>0.30096308186195819</v>
      </c>
      <c r="Z123" s="37">
        <f t="shared" si="71"/>
        <v>0.6288320563948967</v>
      </c>
      <c r="AA123" s="37">
        <f t="shared" si="72"/>
        <v>0.48617635383838137</v>
      </c>
      <c r="AB123" s="37">
        <v>0</v>
      </c>
      <c r="AC123" s="37">
        <f t="shared" si="79"/>
        <v>5.4364512817264093E-2</v>
      </c>
      <c r="AD123" s="40">
        <f t="shared" si="62"/>
        <v>5.4364512817264093E-2</v>
      </c>
      <c r="AE123" s="39">
        <f t="shared" si="70"/>
        <v>7.9725085910652915E-2</v>
      </c>
      <c r="AF123" s="37">
        <f t="shared" si="63"/>
        <v>0.1984806653184733</v>
      </c>
      <c r="AG123" s="37">
        <f t="shared" si="80"/>
        <v>1.8121504272421352E-4</v>
      </c>
      <c r="AH123" s="37">
        <f t="shared" si="81"/>
        <v>0.23275288310602729</v>
      </c>
      <c r="AI123" s="40">
        <f t="shared" si="64"/>
        <v>0.23293409814875152</v>
      </c>
      <c r="AJ123" s="39">
        <f t="shared" si="65"/>
        <v>0.39862542955326469</v>
      </c>
      <c r="AK123" s="37">
        <f t="shared" si="82"/>
        <v>0.44381625987149131</v>
      </c>
      <c r="AL123" s="37">
        <f t="shared" si="83"/>
        <v>0.17400000000000002</v>
      </c>
      <c r="AM123" s="37">
        <f t="shared" si="84"/>
        <v>0.2423025</v>
      </c>
      <c r="AN123" s="40">
        <f t="shared" si="66"/>
        <v>0.41630250000000002</v>
      </c>
      <c r="AO123" s="39">
        <f t="shared" si="85"/>
        <v>2.3636744703158285E-3</v>
      </c>
      <c r="AP123" s="37">
        <f t="shared" si="86"/>
        <v>0.11834775000000002</v>
      </c>
      <c r="AQ123" s="40">
        <f t="shared" si="87"/>
        <v>2.0250000000000001E-2</v>
      </c>
      <c r="AR123" s="39">
        <f t="shared" si="67"/>
        <v>0.84456253543633142</v>
      </c>
      <c r="AS123" s="37">
        <f t="shared" si="68"/>
        <v>20.880000000000003</v>
      </c>
      <c r="AT123" s="40">
        <f t="shared" si="69"/>
        <v>96.112407170184838</v>
      </c>
    </row>
    <row r="124" spans="17:46" x14ac:dyDescent="0.3">
      <c r="Q124">
        <v>117</v>
      </c>
      <c r="R124" s="39">
        <f t="shared" si="45"/>
        <v>54</v>
      </c>
      <c r="S124" s="37">
        <f t="shared" si="73"/>
        <v>0.39</v>
      </c>
      <c r="T124" s="37">
        <f t="shared" si="47"/>
        <v>45</v>
      </c>
      <c r="U124" s="40">
        <f t="shared" si="74"/>
        <v>0.48247422680412377</v>
      </c>
      <c r="V124" s="39">
        <f t="shared" si="75"/>
        <v>2</v>
      </c>
      <c r="W124" s="37">
        <f t="shared" si="76"/>
        <v>0.16666666666666663</v>
      </c>
      <c r="X124" s="40">
        <f t="shared" si="77"/>
        <v>0.83333333333333337</v>
      </c>
      <c r="Y124" s="39">
        <f t="shared" si="78"/>
        <v>0.30096308186195819</v>
      </c>
      <c r="Z124" s="37">
        <f t="shared" si="71"/>
        <v>0.63295576773510287</v>
      </c>
      <c r="AA124" s="37">
        <f t="shared" si="72"/>
        <v>0.49023424086575629</v>
      </c>
      <c r="AB124" s="37">
        <v>0</v>
      </c>
      <c r="AC124" s="37">
        <f t="shared" si="79"/>
        <v>5.5275810510961601E-2</v>
      </c>
      <c r="AD124" s="40">
        <f t="shared" si="62"/>
        <v>5.5275810510961601E-2</v>
      </c>
      <c r="AE124" s="39">
        <f t="shared" si="70"/>
        <v>8.041237113402061E-2</v>
      </c>
      <c r="AF124" s="37">
        <f t="shared" si="63"/>
        <v>0.20013729076029466</v>
      </c>
      <c r="AG124" s="37">
        <f t="shared" si="80"/>
        <v>1.8425270170320532E-4</v>
      </c>
      <c r="AH124" s="37">
        <f t="shared" si="81"/>
        <v>0.23475937347763093</v>
      </c>
      <c r="AI124" s="40">
        <f t="shared" si="64"/>
        <v>0.23494362617933415</v>
      </c>
      <c r="AJ124" s="39">
        <f t="shared" si="65"/>
        <v>0.40206185567010316</v>
      </c>
      <c r="AK124" s="37">
        <f t="shared" si="82"/>
        <v>0.44752058697265951</v>
      </c>
      <c r="AL124" s="37">
        <f t="shared" si="83"/>
        <v>0.17550000000000002</v>
      </c>
      <c r="AM124" s="37">
        <f t="shared" si="84"/>
        <v>0.2423025</v>
      </c>
      <c r="AN124" s="40">
        <f t="shared" si="66"/>
        <v>0.41780250000000002</v>
      </c>
      <c r="AO124" s="39">
        <f t="shared" si="85"/>
        <v>2.4032961091722434E-3</v>
      </c>
      <c r="AP124" s="37">
        <f t="shared" si="86"/>
        <v>0.11834775000000002</v>
      </c>
      <c r="AQ124" s="40">
        <f t="shared" si="87"/>
        <v>2.0250000000000001E-2</v>
      </c>
      <c r="AR124" s="39">
        <f t="shared" si="67"/>
        <v>0.84902298279946797</v>
      </c>
      <c r="AS124" s="37">
        <f t="shared" si="68"/>
        <v>21.060000000000002</v>
      </c>
      <c r="AT124" s="40">
        <f t="shared" si="69"/>
        <v>96.124779350197286</v>
      </c>
    </row>
    <row r="125" spans="17:46" x14ac:dyDescent="0.3">
      <c r="Q125">
        <v>118</v>
      </c>
      <c r="R125" s="39">
        <f t="shared" si="45"/>
        <v>54</v>
      </c>
      <c r="S125" s="37">
        <f t="shared" si="73"/>
        <v>0.39333333333333337</v>
      </c>
      <c r="T125" s="37">
        <f t="shared" si="47"/>
        <v>45</v>
      </c>
      <c r="U125" s="40">
        <f t="shared" si="74"/>
        <v>0.48659793814432994</v>
      </c>
      <c r="V125" s="39">
        <f t="shared" si="75"/>
        <v>2</v>
      </c>
      <c r="W125" s="37">
        <f t="shared" si="76"/>
        <v>0.16666666666666663</v>
      </c>
      <c r="X125" s="40">
        <f t="shared" si="77"/>
        <v>0.83333333333333337</v>
      </c>
      <c r="Y125" s="39">
        <f t="shared" si="78"/>
        <v>0.30096308186195819</v>
      </c>
      <c r="Z125" s="37">
        <f t="shared" si="71"/>
        <v>0.63707947907530904</v>
      </c>
      <c r="AA125" s="37">
        <f t="shared" si="72"/>
        <v>0.494293217425953</v>
      </c>
      <c r="AB125" s="37">
        <v>0</v>
      </c>
      <c r="AC125" s="37">
        <f t="shared" si="79"/>
        <v>5.6194930502459106E-2</v>
      </c>
      <c r="AD125" s="40">
        <f t="shared" si="62"/>
        <v>5.6194930502459106E-2</v>
      </c>
      <c r="AE125" s="39">
        <f t="shared" si="70"/>
        <v>8.1099656357388306E-2</v>
      </c>
      <c r="AF125" s="37">
        <f t="shared" si="63"/>
        <v>0.20179436100202783</v>
      </c>
      <c r="AG125" s="37">
        <f t="shared" si="80"/>
        <v>1.8731643500819695E-4</v>
      </c>
      <c r="AH125" s="37">
        <f t="shared" si="81"/>
        <v>0.23676586384923462</v>
      </c>
      <c r="AI125" s="40">
        <f t="shared" si="64"/>
        <v>0.23695318028424281</v>
      </c>
      <c r="AJ125" s="39">
        <f t="shared" si="65"/>
        <v>0.40549828178694164</v>
      </c>
      <c r="AK125" s="37">
        <f t="shared" si="82"/>
        <v>0.45122590867666684</v>
      </c>
      <c r="AL125" s="37">
        <f t="shared" si="83"/>
        <v>0.17700000000000002</v>
      </c>
      <c r="AM125" s="37">
        <f t="shared" si="84"/>
        <v>0.2423025</v>
      </c>
      <c r="AN125" s="40">
        <f t="shared" si="66"/>
        <v>0.41930250000000002</v>
      </c>
      <c r="AO125" s="39">
        <f t="shared" si="85"/>
        <v>2.4432578479330037E-3</v>
      </c>
      <c r="AP125" s="37">
        <f t="shared" si="86"/>
        <v>0.11834775000000002</v>
      </c>
      <c r="AQ125" s="40">
        <f t="shared" si="87"/>
        <v>2.0250000000000001E-2</v>
      </c>
      <c r="AR125" s="39">
        <f t="shared" si="67"/>
        <v>0.85349161863463485</v>
      </c>
      <c r="AS125" s="37">
        <f t="shared" si="68"/>
        <v>21.240000000000002</v>
      </c>
      <c r="AT125" s="40">
        <f t="shared" si="69"/>
        <v>96.136909306291983</v>
      </c>
    </row>
    <row r="126" spans="17:46" x14ac:dyDescent="0.3">
      <c r="Q126">
        <v>119</v>
      </c>
      <c r="R126" s="39">
        <f t="shared" si="45"/>
        <v>54</v>
      </c>
      <c r="S126" s="37">
        <f t="shared" si="73"/>
        <v>0.39666666666666667</v>
      </c>
      <c r="T126" s="37">
        <f t="shared" si="47"/>
        <v>45</v>
      </c>
      <c r="U126" s="40">
        <f t="shared" si="74"/>
        <v>0.49072164948453612</v>
      </c>
      <c r="V126" s="39">
        <f t="shared" si="75"/>
        <v>2</v>
      </c>
      <c r="W126" s="37">
        <f t="shared" si="76"/>
        <v>0.16666666666666663</v>
      </c>
      <c r="X126" s="40">
        <f t="shared" si="77"/>
        <v>0.83333333333333337</v>
      </c>
      <c r="Y126" s="39">
        <f t="shared" si="78"/>
        <v>0.30096308186195819</v>
      </c>
      <c r="Z126" s="37">
        <f t="shared" si="71"/>
        <v>0.64120319041551521</v>
      </c>
      <c r="AA126" s="37">
        <f t="shared" si="72"/>
        <v>0.49835325689696386</v>
      </c>
      <c r="AB126" s="37">
        <v>0</v>
      </c>
      <c r="AC126" s="37">
        <f t="shared" si="79"/>
        <v>5.7121872791756588E-2</v>
      </c>
      <c r="AD126" s="40">
        <f t="shared" si="62"/>
        <v>5.7121872791756588E-2</v>
      </c>
      <c r="AE126" s="39">
        <f t="shared" si="70"/>
        <v>8.1786941580756001E-2</v>
      </c>
      <c r="AF126" s="37">
        <f t="shared" si="63"/>
        <v>0.2034518651752838</v>
      </c>
      <c r="AG126" s="37">
        <f t="shared" si="80"/>
        <v>1.9040624263918853E-4</v>
      </c>
      <c r="AH126" s="37">
        <f t="shared" si="81"/>
        <v>0.23877235422083831</v>
      </c>
      <c r="AI126" s="40">
        <f t="shared" si="64"/>
        <v>0.2389627604634775</v>
      </c>
      <c r="AJ126" s="39">
        <f t="shared" si="65"/>
        <v>0.40893470790378011</v>
      </c>
      <c r="AK126" s="37">
        <f t="shared" si="82"/>
        <v>0.45493220068105683</v>
      </c>
      <c r="AL126" s="37">
        <f t="shared" si="83"/>
        <v>0.17849999999999999</v>
      </c>
      <c r="AM126" s="37">
        <f t="shared" si="84"/>
        <v>0.2423025</v>
      </c>
      <c r="AN126" s="40">
        <f t="shared" si="66"/>
        <v>0.42080249999999997</v>
      </c>
      <c r="AO126" s="39">
        <f t="shared" si="85"/>
        <v>2.4835596865981115E-3</v>
      </c>
      <c r="AP126" s="37">
        <f t="shared" si="86"/>
        <v>0.11834775000000002</v>
      </c>
      <c r="AQ126" s="40">
        <f t="shared" si="87"/>
        <v>2.0250000000000001E-2</v>
      </c>
      <c r="AR126" s="39">
        <f t="shared" si="67"/>
        <v>0.85796844294183217</v>
      </c>
      <c r="AS126" s="37">
        <f t="shared" si="68"/>
        <v>21.42</v>
      </c>
      <c r="AT126" s="40">
        <f t="shared" si="69"/>
        <v>96.148803042165838</v>
      </c>
    </row>
    <row r="127" spans="17:46" x14ac:dyDescent="0.3">
      <c r="Q127">
        <v>120</v>
      </c>
      <c r="R127" s="39">
        <f t="shared" si="45"/>
        <v>54</v>
      </c>
      <c r="S127" s="37">
        <f t="shared" si="73"/>
        <v>0.4</v>
      </c>
      <c r="T127" s="37">
        <f t="shared" si="47"/>
        <v>45</v>
      </c>
      <c r="U127" s="40">
        <f t="shared" si="74"/>
        <v>0.49484536082474234</v>
      </c>
      <c r="V127" s="39">
        <f t="shared" si="75"/>
        <v>2</v>
      </c>
      <c r="W127" s="37">
        <f t="shared" si="76"/>
        <v>0.16666666666666663</v>
      </c>
      <c r="X127" s="40">
        <f t="shared" si="77"/>
        <v>0.83333333333333337</v>
      </c>
      <c r="Y127" s="39">
        <f t="shared" si="78"/>
        <v>0.30096308186195819</v>
      </c>
      <c r="Z127" s="37">
        <f t="shared" si="71"/>
        <v>0.64532690175572149</v>
      </c>
      <c r="AA127" s="37">
        <f t="shared" si="72"/>
        <v>0.50241433351045706</v>
      </c>
      <c r="AB127" s="37">
        <v>0</v>
      </c>
      <c r="AC127" s="37">
        <f t="shared" si="79"/>
        <v>5.8056637378854054E-2</v>
      </c>
      <c r="AD127" s="40">
        <f t="shared" si="62"/>
        <v>5.8056637378854054E-2</v>
      </c>
      <c r="AE127" s="39">
        <f t="shared" si="70"/>
        <v>8.247422680412371E-2</v>
      </c>
      <c r="AF127" s="37">
        <f t="shared" si="63"/>
        <v>0.20510979276018521</v>
      </c>
      <c r="AG127" s="37">
        <f t="shared" si="80"/>
        <v>1.9352212459618017E-4</v>
      </c>
      <c r="AH127" s="37">
        <f t="shared" si="81"/>
        <v>0.24077884459244198</v>
      </c>
      <c r="AI127" s="40">
        <f t="shared" si="64"/>
        <v>0.24097236671703814</v>
      </c>
      <c r="AJ127" s="39">
        <f t="shared" si="65"/>
        <v>0.41237113402061865</v>
      </c>
      <c r="AK127" s="37">
        <f t="shared" si="82"/>
        <v>0.45863943946266844</v>
      </c>
      <c r="AL127" s="37">
        <f t="shared" si="83"/>
        <v>0.18000000000000002</v>
      </c>
      <c r="AM127" s="37">
        <f t="shared" si="84"/>
        <v>0.2423025</v>
      </c>
      <c r="AN127" s="40">
        <f t="shared" si="66"/>
        <v>0.42230250000000003</v>
      </c>
      <c r="AO127" s="39">
        <f t="shared" si="85"/>
        <v>2.5242016251675672E-3</v>
      </c>
      <c r="AP127" s="37">
        <f t="shared" si="86"/>
        <v>0.11834775000000002</v>
      </c>
      <c r="AQ127" s="40">
        <f t="shared" si="87"/>
        <v>2.0250000000000001E-2</v>
      </c>
      <c r="AR127" s="39">
        <f t="shared" si="67"/>
        <v>0.86245345572105969</v>
      </c>
      <c r="AS127" s="37">
        <f t="shared" si="68"/>
        <v>21.6</v>
      </c>
      <c r="AT127" s="40">
        <f t="shared" si="69"/>
        <v>96.160466364811114</v>
      </c>
    </row>
    <row r="128" spans="17:46" x14ac:dyDescent="0.3">
      <c r="Q128">
        <v>121</v>
      </c>
      <c r="R128" s="39">
        <f t="shared" si="45"/>
        <v>54</v>
      </c>
      <c r="S128" s="37">
        <f t="shared" si="73"/>
        <v>0.40333333333333338</v>
      </c>
      <c r="T128" s="37">
        <f t="shared" si="47"/>
        <v>45</v>
      </c>
      <c r="U128" s="40">
        <f t="shared" si="74"/>
        <v>0.49896907216494851</v>
      </c>
      <c r="V128" s="39">
        <f t="shared" si="75"/>
        <v>2</v>
      </c>
      <c r="W128" s="37">
        <f t="shared" si="76"/>
        <v>0.16666666666666663</v>
      </c>
      <c r="X128" s="40">
        <f t="shared" si="77"/>
        <v>0.83333333333333337</v>
      </c>
      <c r="Y128" s="39">
        <f t="shared" si="78"/>
        <v>0.30096308186195819</v>
      </c>
      <c r="Z128" s="37">
        <f t="shared" si="71"/>
        <v>0.64945061309592766</v>
      </c>
      <c r="AA128" s="37">
        <f t="shared" si="72"/>
        <v>0.50647642231809453</v>
      </c>
      <c r="AB128" s="37">
        <v>0</v>
      </c>
      <c r="AC128" s="37">
        <f t="shared" si="79"/>
        <v>5.8999224263751475E-2</v>
      </c>
      <c r="AD128" s="40">
        <f t="shared" si="62"/>
        <v>5.8999224263751475E-2</v>
      </c>
      <c r="AE128" s="39">
        <f t="shared" si="70"/>
        <v>8.3161512027491405E-2</v>
      </c>
      <c r="AF128" s="37">
        <f t="shared" si="63"/>
        <v>0.20676813357161564</v>
      </c>
      <c r="AG128" s="37">
        <f t="shared" si="80"/>
        <v>1.9666408087917162E-4</v>
      </c>
      <c r="AH128" s="37">
        <f t="shared" si="81"/>
        <v>0.24278533496404567</v>
      </c>
      <c r="AI128" s="40">
        <f t="shared" si="64"/>
        <v>0.24298199904492485</v>
      </c>
      <c r="AJ128" s="39">
        <f t="shared" si="65"/>
        <v>0.41580756013745712</v>
      </c>
      <c r="AK128" s="37">
        <f t="shared" si="82"/>
        <v>0.46234760224688898</v>
      </c>
      <c r="AL128" s="37">
        <f t="shared" si="83"/>
        <v>0.18150000000000002</v>
      </c>
      <c r="AM128" s="37">
        <f t="shared" si="84"/>
        <v>0.2423025</v>
      </c>
      <c r="AN128" s="40">
        <f t="shared" si="66"/>
        <v>0.42380250000000003</v>
      </c>
      <c r="AO128" s="39">
        <f t="shared" si="85"/>
        <v>2.5651836636413688E-3</v>
      </c>
      <c r="AP128" s="37">
        <f t="shared" si="86"/>
        <v>0.11834775000000002</v>
      </c>
      <c r="AQ128" s="40">
        <f t="shared" si="87"/>
        <v>2.0250000000000001E-2</v>
      </c>
      <c r="AR128" s="39">
        <f t="shared" si="67"/>
        <v>0.86694665697231776</v>
      </c>
      <c r="AS128" s="37">
        <f t="shared" si="68"/>
        <v>21.78</v>
      </c>
      <c r="AT128" s="40">
        <f t="shared" si="69"/>
        <v>96.171904892506078</v>
      </c>
    </row>
    <row r="129" spans="17:46" x14ac:dyDescent="0.3">
      <c r="Q129">
        <v>122</v>
      </c>
      <c r="R129" s="39">
        <f t="shared" si="45"/>
        <v>54</v>
      </c>
      <c r="S129" s="37">
        <f t="shared" si="73"/>
        <v>0.40666666666666668</v>
      </c>
      <c r="T129" s="37">
        <f t="shared" si="47"/>
        <v>45</v>
      </c>
      <c r="U129" s="40">
        <f t="shared" si="74"/>
        <v>0.50309278350515463</v>
      </c>
      <c r="V129" s="39">
        <f t="shared" si="75"/>
        <v>2</v>
      </c>
      <c r="W129" s="37">
        <f t="shared" si="76"/>
        <v>0.16666666666666663</v>
      </c>
      <c r="X129" s="40">
        <f t="shared" si="77"/>
        <v>0.83333333333333337</v>
      </c>
      <c r="Y129" s="39">
        <f t="shared" si="78"/>
        <v>0.30096308186195819</v>
      </c>
      <c r="Z129" s="37">
        <f t="shared" si="71"/>
        <v>0.65357432443613372</v>
      </c>
      <c r="AA129" s="37">
        <f t="shared" si="72"/>
        <v>0.51053949915942032</v>
      </c>
      <c r="AB129" s="37">
        <v>0</v>
      </c>
      <c r="AC129" s="37">
        <f t="shared" si="79"/>
        <v>5.9949633446448908E-2</v>
      </c>
      <c r="AD129" s="40">
        <f t="shared" si="62"/>
        <v>5.9949633446448908E-2</v>
      </c>
      <c r="AE129" s="39">
        <f t="shared" si="70"/>
        <v>8.3848797250859086E-2</v>
      </c>
      <c r="AF129" s="37">
        <f t="shared" si="63"/>
        <v>0.20842687774611016</v>
      </c>
      <c r="AG129" s="37">
        <f t="shared" si="80"/>
        <v>1.9983211148816299E-4</v>
      </c>
      <c r="AH129" s="37">
        <f t="shared" si="81"/>
        <v>0.24479182533564933</v>
      </c>
      <c r="AI129" s="40">
        <f t="shared" si="64"/>
        <v>0.2449916574471375</v>
      </c>
      <c r="AJ129" s="39">
        <f t="shared" si="65"/>
        <v>0.41924398625429554</v>
      </c>
      <c r="AK129" s="37">
        <f t="shared" si="82"/>
        <v>0.46605666697834053</v>
      </c>
      <c r="AL129" s="37">
        <f t="shared" si="83"/>
        <v>0.183</v>
      </c>
      <c r="AM129" s="37">
        <f t="shared" si="84"/>
        <v>0.2423025</v>
      </c>
      <c r="AN129" s="40">
        <f t="shared" si="66"/>
        <v>0.42530250000000003</v>
      </c>
      <c r="AO129" s="39">
        <f t="shared" si="85"/>
        <v>2.6065058020195171E-3</v>
      </c>
      <c r="AP129" s="37">
        <f t="shared" si="86"/>
        <v>0.11834775000000002</v>
      </c>
      <c r="AQ129" s="40">
        <f t="shared" si="87"/>
        <v>2.0250000000000001E-2</v>
      </c>
      <c r="AR129" s="39">
        <f t="shared" si="67"/>
        <v>0.87144804669560594</v>
      </c>
      <c r="AS129" s="37">
        <f t="shared" si="68"/>
        <v>21.96</v>
      </c>
      <c r="AT129" s="40">
        <f t="shared" si="69"/>
        <v>96.183124062419125</v>
      </c>
    </row>
    <row r="130" spans="17:46" x14ac:dyDescent="0.3">
      <c r="Q130">
        <v>123</v>
      </c>
      <c r="R130" s="39">
        <f t="shared" si="45"/>
        <v>54</v>
      </c>
      <c r="S130" s="37">
        <f t="shared" si="73"/>
        <v>0.41000000000000003</v>
      </c>
      <c r="T130" s="37">
        <f t="shared" si="47"/>
        <v>45</v>
      </c>
      <c r="U130" s="40">
        <f t="shared" si="74"/>
        <v>0.5072164948453608</v>
      </c>
      <c r="V130" s="39">
        <f t="shared" si="75"/>
        <v>2</v>
      </c>
      <c r="W130" s="37">
        <f t="shared" si="76"/>
        <v>0.16666666666666663</v>
      </c>
      <c r="X130" s="40">
        <f t="shared" si="77"/>
        <v>0.83333333333333337</v>
      </c>
      <c r="Y130" s="39">
        <f t="shared" si="78"/>
        <v>0.30096308186195819</v>
      </c>
      <c r="Z130" s="37">
        <f t="shared" si="71"/>
        <v>0.6576980357763399</v>
      </c>
      <c r="AA130" s="37">
        <f t="shared" si="72"/>
        <v>0.51460354063123315</v>
      </c>
      <c r="AB130" s="37">
        <v>0</v>
      </c>
      <c r="AC130" s="37">
        <f t="shared" si="79"/>
        <v>6.090786492694629E-2</v>
      </c>
      <c r="AD130" s="40">
        <f t="shared" si="62"/>
        <v>6.090786492694629E-2</v>
      </c>
      <c r="AE130" s="39">
        <f t="shared" si="70"/>
        <v>8.4536082474226781E-2</v>
      </c>
      <c r="AF130" s="37">
        <f t="shared" si="63"/>
        <v>0.21008601572935198</v>
      </c>
      <c r="AG130" s="37">
        <f t="shared" si="80"/>
        <v>2.0302621642315422E-4</v>
      </c>
      <c r="AH130" s="37">
        <f t="shared" si="81"/>
        <v>0.246798315707253</v>
      </c>
      <c r="AI130" s="40">
        <f t="shared" si="64"/>
        <v>0.24700134192367615</v>
      </c>
      <c r="AJ130" s="39">
        <f t="shared" si="65"/>
        <v>0.42268041237113402</v>
      </c>
      <c r="AK130" s="37">
        <f t="shared" si="82"/>
        <v>0.46976661229292116</v>
      </c>
      <c r="AL130" s="37">
        <f t="shared" si="83"/>
        <v>0.18450000000000003</v>
      </c>
      <c r="AM130" s="37">
        <f t="shared" si="84"/>
        <v>0.2423025</v>
      </c>
      <c r="AN130" s="40">
        <f t="shared" si="66"/>
        <v>0.42680250000000003</v>
      </c>
      <c r="AO130" s="39">
        <f t="shared" si="85"/>
        <v>2.6481680403020115E-3</v>
      </c>
      <c r="AP130" s="37">
        <f t="shared" si="86"/>
        <v>0.11834775000000002</v>
      </c>
      <c r="AQ130" s="40">
        <f t="shared" si="87"/>
        <v>2.0250000000000001E-2</v>
      </c>
      <c r="AR130" s="39">
        <f t="shared" si="67"/>
        <v>0.87595762489092444</v>
      </c>
      <c r="AS130" s="37">
        <f t="shared" si="68"/>
        <v>22.14</v>
      </c>
      <c r="AT130" s="40">
        <f t="shared" si="69"/>
        <v>96.194129137848222</v>
      </c>
    </row>
    <row r="131" spans="17:46" x14ac:dyDescent="0.3">
      <c r="Q131">
        <v>124</v>
      </c>
      <c r="R131" s="39">
        <f t="shared" si="45"/>
        <v>54</v>
      </c>
      <c r="S131" s="37">
        <f t="shared" si="73"/>
        <v>0.41333333333333339</v>
      </c>
      <c r="T131" s="37">
        <f t="shared" si="47"/>
        <v>45</v>
      </c>
      <c r="U131" s="40">
        <f t="shared" si="74"/>
        <v>0.51134020618556708</v>
      </c>
      <c r="V131" s="39">
        <f t="shared" si="75"/>
        <v>2</v>
      </c>
      <c r="W131" s="37">
        <f t="shared" si="76"/>
        <v>0.16666666666666663</v>
      </c>
      <c r="X131" s="40">
        <f t="shared" si="77"/>
        <v>0.83333333333333337</v>
      </c>
      <c r="Y131" s="39">
        <f t="shared" si="78"/>
        <v>0.30096308186195819</v>
      </c>
      <c r="Z131" s="37">
        <f t="shared" si="71"/>
        <v>0.66182174711654618</v>
      </c>
      <c r="AA131" s="37">
        <f t="shared" si="72"/>
        <v>0.51866852405836772</v>
      </c>
      <c r="AB131" s="37">
        <v>0</v>
      </c>
      <c r="AC131" s="37">
        <f t="shared" si="79"/>
        <v>6.187391870524369E-2</v>
      </c>
      <c r="AD131" s="40">
        <f t="shared" si="62"/>
        <v>6.187391870524369E-2</v>
      </c>
      <c r="AE131" s="39">
        <f t="shared" si="70"/>
        <v>8.522336769759449E-2</v>
      </c>
      <c r="AF131" s="37">
        <f t="shared" si="63"/>
        <v>0.21174553826424358</v>
      </c>
      <c r="AG131" s="37">
        <f t="shared" si="80"/>
        <v>2.0624639568414551E-4</v>
      </c>
      <c r="AH131" s="37">
        <f t="shared" si="81"/>
        <v>0.24880480607885672</v>
      </c>
      <c r="AI131" s="40">
        <f t="shared" si="64"/>
        <v>0.24901105247454086</v>
      </c>
      <c r="AJ131" s="39">
        <f t="shared" si="65"/>
        <v>0.4261168384879726</v>
      </c>
      <c r="AK131" s="37">
        <f t="shared" si="82"/>
        <v>0.47347741749113154</v>
      </c>
      <c r="AL131" s="37">
        <f t="shared" si="83"/>
        <v>0.18600000000000003</v>
      </c>
      <c r="AM131" s="37">
        <f t="shared" si="84"/>
        <v>0.2423025</v>
      </c>
      <c r="AN131" s="40">
        <f t="shared" si="66"/>
        <v>0.42830250000000003</v>
      </c>
      <c r="AO131" s="39">
        <f t="shared" si="85"/>
        <v>2.6901703784888544E-3</v>
      </c>
      <c r="AP131" s="37">
        <f t="shared" si="86"/>
        <v>0.11834775000000002</v>
      </c>
      <c r="AQ131" s="40">
        <f t="shared" si="87"/>
        <v>2.0250000000000001E-2</v>
      </c>
      <c r="AR131" s="39">
        <f t="shared" si="67"/>
        <v>0.88047539155827348</v>
      </c>
      <c r="AS131" s="37">
        <f t="shared" si="68"/>
        <v>22.320000000000004</v>
      </c>
      <c r="AT131" s="40">
        <f t="shared" si="69"/>
        <v>96.204925215115878</v>
      </c>
    </row>
    <row r="132" spans="17:46" x14ac:dyDescent="0.3">
      <c r="Q132">
        <v>125</v>
      </c>
      <c r="R132" s="39">
        <f t="shared" si="45"/>
        <v>54</v>
      </c>
      <c r="S132" s="37">
        <f t="shared" si="73"/>
        <v>0.41666666666666669</v>
      </c>
      <c r="T132" s="37">
        <f t="shared" si="47"/>
        <v>45</v>
      </c>
      <c r="U132" s="40">
        <f t="shared" si="74"/>
        <v>0.51546391752577325</v>
      </c>
      <c r="V132" s="39">
        <f t="shared" si="75"/>
        <v>2</v>
      </c>
      <c r="W132" s="37">
        <f t="shared" si="76"/>
        <v>0.16666666666666663</v>
      </c>
      <c r="X132" s="40">
        <f t="shared" si="77"/>
        <v>0.83333333333333337</v>
      </c>
      <c r="Y132" s="39">
        <f t="shared" si="78"/>
        <v>0.30096308186195819</v>
      </c>
      <c r="Z132" s="37">
        <f t="shared" si="71"/>
        <v>0.66594545845675235</v>
      </c>
      <c r="AA132" s="37">
        <f t="shared" si="72"/>
        <v>0.52273442746580645</v>
      </c>
      <c r="AB132" s="37">
        <v>0</v>
      </c>
      <c r="AC132" s="37">
        <f t="shared" si="79"/>
        <v>6.2847794781341018E-2</v>
      </c>
      <c r="AD132" s="40">
        <f t="shared" si="62"/>
        <v>6.2847794781341018E-2</v>
      </c>
      <c r="AE132" s="39">
        <f t="shared" si="70"/>
        <v>8.5910652920962186E-2</v>
      </c>
      <c r="AF132" s="37">
        <f t="shared" si="63"/>
        <v>0.21340543637952167</v>
      </c>
      <c r="AG132" s="37">
        <f t="shared" si="80"/>
        <v>2.0949264927113673E-4</v>
      </c>
      <c r="AH132" s="37">
        <f t="shared" si="81"/>
        <v>0.25081129645046041</v>
      </c>
      <c r="AI132" s="40">
        <f t="shared" si="64"/>
        <v>0.25102078909973152</v>
      </c>
      <c r="AJ132" s="39">
        <f t="shared" si="65"/>
        <v>0.42955326460481108</v>
      </c>
      <c r="AK132" s="37">
        <f t="shared" si="82"/>
        <v>0.47718906251261711</v>
      </c>
      <c r="AL132" s="37">
        <f t="shared" si="83"/>
        <v>0.1875</v>
      </c>
      <c r="AM132" s="37">
        <f t="shared" si="84"/>
        <v>0.2423025</v>
      </c>
      <c r="AN132" s="40">
        <f t="shared" si="66"/>
        <v>0.42980249999999998</v>
      </c>
      <c r="AO132" s="39">
        <f t="shared" si="85"/>
        <v>2.7325128165800443E-3</v>
      </c>
      <c r="AP132" s="37">
        <f t="shared" si="86"/>
        <v>0.11834775000000002</v>
      </c>
      <c r="AQ132" s="40">
        <f t="shared" si="87"/>
        <v>2.0250000000000001E-2</v>
      </c>
      <c r="AR132" s="39">
        <f t="shared" si="67"/>
        <v>0.88500134669765251</v>
      </c>
      <c r="AS132" s="37">
        <f t="shared" si="68"/>
        <v>22.5</v>
      </c>
      <c r="AT132" s="40">
        <f t="shared" si="69"/>
        <v>96.215517230138502</v>
      </c>
    </row>
    <row r="133" spans="17:46" x14ac:dyDescent="0.3">
      <c r="Q133">
        <v>126</v>
      </c>
      <c r="R133" s="39">
        <f t="shared" si="45"/>
        <v>54</v>
      </c>
      <c r="S133" s="37">
        <f t="shared" si="73"/>
        <v>0.42000000000000004</v>
      </c>
      <c r="T133" s="37">
        <f t="shared" si="47"/>
        <v>45</v>
      </c>
      <c r="U133" s="40">
        <f t="shared" si="74"/>
        <v>0.51958762886597942</v>
      </c>
      <c r="V133" s="39">
        <f t="shared" si="75"/>
        <v>2</v>
      </c>
      <c r="W133" s="37">
        <f t="shared" si="76"/>
        <v>0.16666666666666663</v>
      </c>
      <c r="X133" s="40">
        <f t="shared" si="77"/>
        <v>0.83333333333333337</v>
      </c>
      <c r="Y133" s="39">
        <f t="shared" si="78"/>
        <v>0.30096308186195819</v>
      </c>
      <c r="Z133" s="37">
        <f t="shared" si="71"/>
        <v>0.67006916979695852</v>
      </c>
      <c r="AA133" s="37">
        <f t="shared" si="72"/>
        <v>0.52680122955205611</v>
      </c>
      <c r="AB133" s="37">
        <v>0</v>
      </c>
      <c r="AC133" s="37">
        <f t="shared" si="79"/>
        <v>6.3829493155238365E-2</v>
      </c>
      <c r="AD133" s="40">
        <f t="shared" si="62"/>
        <v>6.3829493155238365E-2</v>
      </c>
      <c r="AE133" s="39">
        <f t="shared" si="70"/>
        <v>8.6597938144329881E-2</v>
      </c>
      <c r="AF133" s="37">
        <f t="shared" si="63"/>
        <v>0.21506570137888792</v>
      </c>
      <c r="AG133" s="37">
        <f t="shared" si="80"/>
        <v>2.1276497718412775E-4</v>
      </c>
      <c r="AH133" s="37">
        <f t="shared" si="81"/>
        <v>0.25281778682206407</v>
      </c>
      <c r="AI133" s="40">
        <f t="shared" si="64"/>
        <v>0.25303055179924822</v>
      </c>
      <c r="AJ133" s="39">
        <f t="shared" si="65"/>
        <v>0.43298969072164956</v>
      </c>
      <c r="AK133" s="37">
        <f t="shared" si="82"/>
        <v>0.48090152791186369</v>
      </c>
      <c r="AL133" s="37">
        <f t="shared" si="83"/>
        <v>0.18900000000000003</v>
      </c>
      <c r="AM133" s="37">
        <f t="shared" si="84"/>
        <v>0.2423025</v>
      </c>
      <c r="AN133" s="40">
        <f t="shared" si="66"/>
        <v>0.43130250000000003</v>
      </c>
      <c r="AO133" s="39">
        <f t="shared" si="85"/>
        <v>2.7751953545755792E-3</v>
      </c>
      <c r="AP133" s="37">
        <f t="shared" si="86"/>
        <v>0.11834775000000002</v>
      </c>
      <c r="AQ133" s="40">
        <f t="shared" si="87"/>
        <v>2.0250000000000001E-2</v>
      </c>
      <c r="AR133" s="39">
        <f t="shared" si="67"/>
        <v>0.8895354903090622</v>
      </c>
      <c r="AS133" s="37">
        <f t="shared" si="68"/>
        <v>22.680000000000003</v>
      </c>
      <c r="AT133" s="40">
        <f t="shared" si="69"/>
        <v>96.225909964688086</v>
      </c>
    </row>
    <row r="134" spans="17:46" x14ac:dyDescent="0.3">
      <c r="Q134">
        <v>127</v>
      </c>
      <c r="R134" s="39">
        <f t="shared" si="45"/>
        <v>54</v>
      </c>
      <c r="S134" s="37">
        <f t="shared" si="73"/>
        <v>0.42333333333333334</v>
      </c>
      <c r="T134" s="37">
        <f t="shared" si="47"/>
        <v>45</v>
      </c>
      <c r="U134" s="40">
        <f t="shared" si="74"/>
        <v>0.52371134020618559</v>
      </c>
      <c r="V134" s="39">
        <f t="shared" si="75"/>
        <v>2</v>
      </c>
      <c r="W134" s="37">
        <f t="shared" si="76"/>
        <v>0.16666666666666663</v>
      </c>
      <c r="X134" s="40">
        <f t="shared" si="77"/>
        <v>0.83333333333333337</v>
      </c>
      <c r="Y134" s="39">
        <f t="shared" si="78"/>
        <v>0.30096308186195819</v>
      </c>
      <c r="Z134" s="37">
        <f t="shared" si="71"/>
        <v>0.67419288113716469</v>
      </c>
      <c r="AA134" s="37">
        <f t="shared" si="72"/>
        <v>0.53086890966371947</v>
      </c>
      <c r="AB134" s="37">
        <v>0</v>
      </c>
      <c r="AC134" s="37">
        <f t="shared" si="79"/>
        <v>6.4819013826935667E-2</v>
      </c>
      <c r="AD134" s="40">
        <f t="shared" si="62"/>
        <v>6.4819013826935667E-2</v>
      </c>
      <c r="AE134" s="39">
        <f t="shared" si="70"/>
        <v>8.7285223367697576E-2</v>
      </c>
      <c r="AF134" s="37">
        <f t="shared" si="63"/>
        <v>0.21672632483062837</v>
      </c>
      <c r="AG134" s="37">
        <f t="shared" si="80"/>
        <v>2.160633794231188E-4</v>
      </c>
      <c r="AH134" s="37">
        <f t="shared" si="81"/>
        <v>0.25482427719366774</v>
      </c>
      <c r="AI134" s="40">
        <f t="shared" si="64"/>
        <v>0.25504034057309083</v>
      </c>
      <c r="AJ134" s="39">
        <f t="shared" si="65"/>
        <v>0.43642611683848803</v>
      </c>
      <c r="AK134" s="37">
        <f t="shared" si="82"/>
        <v>0.48461479483498571</v>
      </c>
      <c r="AL134" s="37">
        <f t="shared" si="83"/>
        <v>0.1905</v>
      </c>
      <c r="AM134" s="37">
        <f t="shared" si="84"/>
        <v>0.2423025</v>
      </c>
      <c r="AN134" s="40">
        <f t="shared" si="66"/>
        <v>0.43280249999999998</v>
      </c>
      <c r="AO134" s="39">
        <f t="shared" si="85"/>
        <v>2.8182179924754625E-3</v>
      </c>
      <c r="AP134" s="37">
        <f t="shared" si="86"/>
        <v>0.11834775000000002</v>
      </c>
      <c r="AQ134" s="40">
        <f t="shared" si="87"/>
        <v>2.0250000000000001E-2</v>
      </c>
      <c r="AR134" s="39">
        <f t="shared" si="67"/>
        <v>0.89407782239250189</v>
      </c>
      <c r="AS134" s="37">
        <f t="shared" si="68"/>
        <v>22.86</v>
      </c>
      <c r="AT134" s="40">
        <f t="shared" si="69"/>
        <v>96.236108052362809</v>
      </c>
    </row>
    <row r="135" spans="17:46" x14ac:dyDescent="0.3">
      <c r="Q135">
        <v>128</v>
      </c>
      <c r="R135" s="39">
        <f t="shared" ref="R135:R157" si="88">VOUT</f>
        <v>54</v>
      </c>
      <c r="S135" s="37">
        <f t="shared" ref="S135:S157" si="89">Q135*$O$12</f>
        <v>0.42666666666666669</v>
      </c>
      <c r="T135" s="37">
        <f t="shared" ref="T135:T157" si="90">VIN_var</f>
        <v>45</v>
      </c>
      <c r="U135" s="40">
        <f t="shared" ref="U135:U157" si="91">(R135*S135)/(T135*EFF_est)</f>
        <v>0.52783505154639188</v>
      </c>
      <c r="V135" s="39">
        <f t="shared" ref="V135:V157" si="92">IF((S135*R135/T135)&lt;((T135*(1-(T135/R135)))/(2*Lm*Fsw)),1,2)</f>
        <v>2</v>
      </c>
      <c r="W135" s="37">
        <f t="shared" ref="W135:W157" si="93">CHOOSE(V135,SQRT((2*S135*Lm*Fsw*(R135-T135))/((T135)^2)),1-(T135/R135))</f>
        <v>0.16666666666666663</v>
      </c>
      <c r="X135" s="40">
        <f t="shared" ref="X135:X157" si="94">CHOOSE(V135,(Lm*W135*Fsw)/(R135-T135),1-W135)</f>
        <v>0.83333333333333337</v>
      </c>
      <c r="Y135" s="39">
        <f t="shared" ref="Y135:Y157" si="95">(T135*W135)/(Lm*Fsw)</f>
        <v>0.30096308186195819</v>
      </c>
      <c r="Z135" s="37">
        <f t="shared" si="71"/>
        <v>0.67831659247737097</v>
      </c>
      <c r="AA135" s="37">
        <f t="shared" si="72"/>
        <v>0.53493744777120389</v>
      </c>
      <c r="AB135" s="37">
        <v>0</v>
      </c>
      <c r="AC135" s="37">
        <f t="shared" ref="AC135:AC157" si="96">(AA135^2)*Rdcr</f>
        <v>6.5816356796432982E-2</v>
      </c>
      <c r="AD135" s="40">
        <f t="shared" si="62"/>
        <v>6.5816356796432982E-2</v>
      </c>
      <c r="AE135" s="39">
        <f t="shared" si="70"/>
        <v>8.7972508591065299E-2</v>
      </c>
      <c r="AF135" s="37">
        <f t="shared" si="63"/>
        <v>0.21838729855769598</v>
      </c>
      <c r="AG135" s="37">
        <f t="shared" ref="AG135:AG157" si="97">(AF135^2)*RDS_on</f>
        <v>2.1938785598810991E-4</v>
      </c>
      <c r="AH135" s="37">
        <f t="shared" ref="AH135:AH157" si="98">((R135*U135)/2)*Fsw*(tr_sw+tf_sw)</f>
        <v>0.25683076756527146</v>
      </c>
      <c r="AI135" s="40">
        <f t="shared" si="64"/>
        <v>0.25705015542125959</v>
      </c>
      <c r="AJ135" s="39">
        <f t="shared" si="65"/>
        <v>0.43986254295532656</v>
      </c>
      <c r="AK135" s="37">
        <f t="shared" ref="AK135:AK157" si="99">CHOOSE(V135,Z135*SQRT(X135/3),SQRT(X135*((Z135^2)+((Y135^2)/3)-(Y135*Z135))))</f>
        <v>0.48832884499755008</v>
      </c>
      <c r="AL135" s="37">
        <f t="shared" ref="AL135:AL157" si="100">S135*Vd_rect</f>
        <v>0.192</v>
      </c>
      <c r="AM135" s="37">
        <f t="shared" ref="AM135:AM157" si="101">CHOOSE(V135,(R135+Vd_rect)*Qrr*Fsw,(R135+Vd_rect)*Qrr*Fsw)</f>
        <v>0.2423025</v>
      </c>
      <c r="AN135" s="40">
        <f t="shared" si="66"/>
        <v>0.43430250000000004</v>
      </c>
      <c r="AO135" s="39">
        <f t="shared" ref="AO135:AO157" si="102">(AF135^2)*R_cs</f>
        <v>2.8615807302796946E-3</v>
      </c>
      <c r="AP135" s="37">
        <f t="shared" ref="AP135:AP157" si="103">Qg_tot*Vcc*Fsw</f>
        <v>0.11834775000000002</v>
      </c>
      <c r="AQ135" s="40">
        <f t="shared" ref="AQ135:AQ157" si="104">IQ*T135</f>
        <v>2.0250000000000001E-2</v>
      </c>
      <c r="AR135" s="39">
        <f t="shared" si="67"/>
        <v>0.89862834294797223</v>
      </c>
      <c r="AS135" s="37">
        <f t="shared" si="68"/>
        <v>23.040000000000003</v>
      </c>
      <c r="AT135" s="40">
        <f t="shared" si="69"/>
        <v>96.246115984282383</v>
      </c>
    </row>
    <row r="136" spans="17:46" x14ac:dyDescent="0.3">
      <c r="Q136">
        <v>129</v>
      </c>
      <c r="R136" s="39">
        <f t="shared" si="88"/>
        <v>54</v>
      </c>
      <c r="S136" s="37">
        <f t="shared" si="89"/>
        <v>0.43000000000000005</v>
      </c>
      <c r="T136" s="37">
        <f t="shared" si="90"/>
        <v>45</v>
      </c>
      <c r="U136" s="40">
        <f t="shared" si="91"/>
        <v>0.53195876288659805</v>
      </c>
      <c r="V136" s="39">
        <f t="shared" si="92"/>
        <v>2</v>
      </c>
      <c r="W136" s="37">
        <f t="shared" si="93"/>
        <v>0.16666666666666663</v>
      </c>
      <c r="X136" s="40">
        <f t="shared" si="94"/>
        <v>0.83333333333333337</v>
      </c>
      <c r="Y136" s="39">
        <f t="shared" si="95"/>
        <v>0.30096308186195819</v>
      </c>
      <c r="Z136" s="37">
        <f t="shared" si="71"/>
        <v>0.68244030381757714</v>
      </c>
      <c r="AA136" s="37">
        <f t="shared" si="72"/>
        <v>0.53900682444550474</v>
      </c>
      <c r="AB136" s="37">
        <v>0</v>
      </c>
      <c r="AC136" s="37">
        <f t="shared" si="96"/>
        <v>6.6821522063730251E-2</v>
      </c>
      <c r="AD136" s="40">
        <f t="shared" ref="AD136:AD157" si="105">AB136+AC136</f>
        <v>6.6821522063730251E-2</v>
      </c>
      <c r="AE136" s="39">
        <f t="shared" si="70"/>
        <v>8.8659793814432994E-2</v>
      </c>
      <c r="AF136" s="37">
        <f t="shared" ref="AF136:AF157" si="106">CHOOSE(V136,Z136*SQRT(W136/3),SQRT(W136*((Z136^2)+((Y136^2)/3)-(Z136*Y136))))</f>
        <v>0.2200486146282328</v>
      </c>
      <c r="AG136" s="37">
        <f t="shared" si="97"/>
        <v>2.2273840687910075E-4</v>
      </c>
      <c r="AH136" s="37">
        <f t="shared" si="98"/>
        <v>0.25883725793687518</v>
      </c>
      <c r="AI136" s="40">
        <f t="shared" ref="AI136:AI157" si="107">AG136+AH136</f>
        <v>0.25905999634375426</v>
      </c>
      <c r="AJ136" s="39">
        <f t="shared" ref="AJ136:AJ156" si="108">X136*U136</f>
        <v>0.44329896907216504</v>
      </c>
      <c r="AK136" s="37">
        <f t="shared" si="99"/>
        <v>0.49204366066338323</v>
      </c>
      <c r="AL136" s="37">
        <f t="shared" si="100"/>
        <v>0.19350000000000003</v>
      </c>
      <c r="AM136" s="37">
        <f t="shared" si="101"/>
        <v>0.2423025</v>
      </c>
      <c r="AN136" s="40">
        <f t="shared" ref="AN136:AN157" si="109">AL136+AM136</f>
        <v>0.43580250000000004</v>
      </c>
      <c r="AO136" s="39">
        <f t="shared" si="102"/>
        <v>2.9052835679882704E-3</v>
      </c>
      <c r="AP136" s="37">
        <f t="shared" si="103"/>
        <v>0.11834775000000002</v>
      </c>
      <c r="AQ136" s="40">
        <f t="shared" si="104"/>
        <v>2.0250000000000001E-2</v>
      </c>
      <c r="AR136" s="39">
        <f t="shared" ref="AR136:AR157" si="110">AO136+AN136+AI136+AD136+AP136+AQ136</f>
        <v>0.90318705197547278</v>
      </c>
      <c r="AS136" s="37">
        <f t="shared" ref="AS136:AS157" si="111">R136*S136</f>
        <v>23.220000000000002</v>
      </c>
      <c r="AT136" s="40">
        <f t="shared" ref="AT136:AT156" si="112">(AS136/(AS136+AR136))*100</f>
        <v>96.255938114522451</v>
      </c>
    </row>
    <row r="137" spans="17:46" x14ac:dyDescent="0.3">
      <c r="Q137">
        <v>130</v>
      </c>
      <c r="R137" s="39">
        <f t="shared" si="88"/>
        <v>54</v>
      </c>
      <c r="S137" s="37">
        <f t="shared" si="89"/>
        <v>0.43333333333333335</v>
      </c>
      <c r="T137" s="37">
        <f t="shared" si="90"/>
        <v>45</v>
      </c>
      <c r="U137" s="40">
        <f t="shared" si="91"/>
        <v>0.53608247422680422</v>
      </c>
      <c r="V137" s="39">
        <f t="shared" si="92"/>
        <v>2</v>
      </c>
      <c r="W137" s="37">
        <f t="shared" si="93"/>
        <v>0.16666666666666663</v>
      </c>
      <c r="X137" s="40">
        <f t="shared" si="94"/>
        <v>0.83333333333333337</v>
      </c>
      <c r="Y137" s="39">
        <f t="shared" si="95"/>
        <v>0.30096308186195819</v>
      </c>
      <c r="Z137" s="37">
        <f t="shared" si="71"/>
        <v>0.68656401515778331</v>
      </c>
      <c r="AA137" s="37">
        <f t="shared" si="72"/>
        <v>0.54307702083601317</v>
      </c>
      <c r="AB137" s="37">
        <v>0</v>
      </c>
      <c r="AC137" s="37">
        <f t="shared" si="96"/>
        <v>6.7834509628827477E-2</v>
      </c>
      <c r="AD137" s="40">
        <f t="shared" si="105"/>
        <v>6.7834509628827477E-2</v>
      </c>
      <c r="AE137" s="39">
        <f t="shared" ref="AE137:AE157" si="113">U137*W137</f>
        <v>8.9347079037800689E-2</v>
      </c>
      <c r="AF137" s="37">
        <f t="shared" si="106"/>
        <v>0.22171026534651009</v>
      </c>
      <c r="AG137" s="37">
        <f t="shared" si="97"/>
        <v>2.2611503209609159E-4</v>
      </c>
      <c r="AH137" s="37">
        <f t="shared" si="98"/>
        <v>0.26084374830847884</v>
      </c>
      <c r="AI137" s="40">
        <f t="shared" si="107"/>
        <v>0.26106986334057491</v>
      </c>
      <c r="AJ137" s="39">
        <f t="shared" si="108"/>
        <v>0.44673539518900351</v>
      </c>
      <c r="AK137" s="37">
        <f t="shared" si="99"/>
        <v>0.4957592246243126</v>
      </c>
      <c r="AL137" s="37">
        <f t="shared" si="100"/>
        <v>0.19500000000000001</v>
      </c>
      <c r="AM137" s="37">
        <f t="shared" si="101"/>
        <v>0.2423025</v>
      </c>
      <c r="AN137" s="40">
        <f t="shared" si="109"/>
        <v>0.43730250000000004</v>
      </c>
      <c r="AO137" s="39">
        <f t="shared" si="102"/>
        <v>2.9493265056011945E-3</v>
      </c>
      <c r="AP137" s="37">
        <f t="shared" si="103"/>
        <v>0.11834775000000002</v>
      </c>
      <c r="AQ137" s="40">
        <f t="shared" si="104"/>
        <v>2.0250000000000001E-2</v>
      </c>
      <c r="AR137" s="39">
        <f t="shared" si="110"/>
        <v>0.90775394947500354</v>
      </c>
      <c r="AS137" s="37">
        <f t="shared" si="111"/>
        <v>23.400000000000002</v>
      </c>
      <c r="AT137" s="40">
        <f t="shared" si="112"/>
        <v>96.265578665302357</v>
      </c>
    </row>
    <row r="138" spans="17:46" x14ac:dyDescent="0.3">
      <c r="Q138">
        <v>131</v>
      </c>
      <c r="R138" s="39">
        <f t="shared" si="88"/>
        <v>54</v>
      </c>
      <c r="S138" s="37">
        <f t="shared" si="89"/>
        <v>0.4366666666666667</v>
      </c>
      <c r="T138" s="37">
        <f t="shared" si="90"/>
        <v>45</v>
      </c>
      <c r="U138" s="40">
        <f t="shared" si="91"/>
        <v>0.54020618556701039</v>
      </c>
      <c r="V138" s="39">
        <f t="shared" si="92"/>
        <v>2</v>
      </c>
      <c r="W138" s="37">
        <f t="shared" si="93"/>
        <v>0.16666666666666663</v>
      </c>
      <c r="X138" s="40">
        <f t="shared" si="94"/>
        <v>0.83333333333333337</v>
      </c>
      <c r="Y138" s="39">
        <f t="shared" si="95"/>
        <v>0.30096308186195819</v>
      </c>
      <c r="Z138" s="37">
        <f t="shared" si="71"/>
        <v>0.69068772649798948</v>
      </c>
      <c r="AA138" s="37">
        <f t="shared" si="72"/>
        <v>0.54714801864929252</v>
      </c>
      <c r="AB138" s="37">
        <v>0</v>
      </c>
      <c r="AC138" s="37">
        <f t="shared" si="96"/>
        <v>6.8855319491724715E-2</v>
      </c>
      <c r="AD138" s="40">
        <f t="shared" si="105"/>
        <v>6.8855319491724715E-2</v>
      </c>
      <c r="AE138" s="39">
        <f t="shared" si="113"/>
        <v>9.0034364261168384E-2</v>
      </c>
      <c r="AF138" s="37">
        <f t="shared" si="106"/>
        <v>0.22337224324426352</v>
      </c>
      <c r="AG138" s="37">
        <f t="shared" si="97"/>
        <v>2.295177316390824E-4</v>
      </c>
      <c r="AH138" s="37">
        <f t="shared" si="98"/>
        <v>0.2628502386800825</v>
      </c>
      <c r="AI138" s="40">
        <f t="shared" si="107"/>
        <v>0.2630797564117216</v>
      </c>
      <c r="AJ138" s="39">
        <f t="shared" si="108"/>
        <v>0.45017182130584199</v>
      </c>
      <c r="AK138" s="37">
        <f t="shared" si="99"/>
        <v>0.49947552018079144</v>
      </c>
      <c r="AL138" s="37">
        <f t="shared" si="100"/>
        <v>0.19650000000000001</v>
      </c>
      <c r="AM138" s="37">
        <f t="shared" si="101"/>
        <v>0.2423025</v>
      </c>
      <c r="AN138" s="40">
        <f t="shared" si="109"/>
        <v>0.43880249999999998</v>
      </c>
      <c r="AO138" s="39">
        <f t="shared" si="102"/>
        <v>2.9937095431184658E-3</v>
      </c>
      <c r="AP138" s="37">
        <f t="shared" si="103"/>
        <v>0.11834775000000002</v>
      </c>
      <c r="AQ138" s="40">
        <f t="shared" si="104"/>
        <v>2.0250000000000001E-2</v>
      </c>
      <c r="AR138" s="39">
        <f t="shared" si="110"/>
        <v>0.91232903544656474</v>
      </c>
      <c r="AS138" s="37">
        <f t="shared" si="111"/>
        <v>23.580000000000002</v>
      </c>
      <c r="AT138" s="40">
        <f t="shared" si="112"/>
        <v>96.275041731939027</v>
      </c>
    </row>
    <row r="139" spans="17:46" x14ac:dyDescent="0.3">
      <c r="Q139">
        <v>132</v>
      </c>
      <c r="R139" s="39">
        <f t="shared" si="88"/>
        <v>54</v>
      </c>
      <c r="S139" s="37">
        <f t="shared" si="89"/>
        <v>0.44</v>
      </c>
      <c r="T139" s="37">
        <f t="shared" si="90"/>
        <v>45</v>
      </c>
      <c r="U139" s="40">
        <f t="shared" si="91"/>
        <v>0.54432989690721656</v>
      </c>
      <c r="V139" s="39">
        <f t="shared" si="92"/>
        <v>2</v>
      </c>
      <c r="W139" s="37">
        <f t="shared" si="93"/>
        <v>0.16666666666666663</v>
      </c>
      <c r="X139" s="40">
        <f t="shared" si="94"/>
        <v>0.83333333333333337</v>
      </c>
      <c r="Y139" s="39">
        <f t="shared" si="95"/>
        <v>0.30096308186195819</v>
      </c>
      <c r="Z139" s="37">
        <f t="shared" si="71"/>
        <v>0.69481143783819566</v>
      </c>
      <c r="AA139" s="37">
        <f t="shared" si="72"/>
        <v>0.55121980012877647</v>
      </c>
      <c r="AB139" s="37">
        <v>0</v>
      </c>
      <c r="AC139" s="37">
        <f t="shared" si="96"/>
        <v>6.9883951652421908E-2</v>
      </c>
      <c r="AD139" s="40">
        <f t="shared" si="105"/>
        <v>6.9883951652421908E-2</v>
      </c>
      <c r="AE139" s="39">
        <f t="shared" si="113"/>
        <v>9.0721649484536079E-2</v>
      </c>
      <c r="AF139" s="37">
        <f t="shared" si="106"/>
        <v>0.22503454107240523</v>
      </c>
      <c r="AG139" s="37">
        <f t="shared" si="97"/>
        <v>2.3294650550807294E-4</v>
      </c>
      <c r="AH139" s="37">
        <f t="shared" si="98"/>
        <v>0.26485672905168617</v>
      </c>
      <c r="AI139" s="40">
        <f t="shared" si="107"/>
        <v>0.26508967555719426</v>
      </c>
      <c r="AJ139" s="39">
        <f t="shared" si="108"/>
        <v>0.45360824742268047</v>
      </c>
      <c r="AK139" s="37">
        <f t="shared" si="99"/>
        <v>0.50319253112336659</v>
      </c>
      <c r="AL139" s="37">
        <f t="shared" si="100"/>
        <v>0.19800000000000001</v>
      </c>
      <c r="AM139" s="37">
        <f t="shared" si="101"/>
        <v>0.2423025</v>
      </c>
      <c r="AN139" s="40">
        <f t="shared" si="109"/>
        <v>0.44030250000000004</v>
      </c>
      <c r="AO139" s="39">
        <f t="shared" si="102"/>
        <v>3.038432680540082E-3</v>
      </c>
      <c r="AP139" s="37">
        <f t="shared" si="103"/>
        <v>0.11834775000000002</v>
      </c>
      <c r="AQ139" s="40">
        <f t="shared" si="104"/>
        <v>2.0250000000000001E-2</v>
      </c>
      <c r="AR139" s="39">
        <f t="shared" si="110"/>
        <v>0.91691230989015626</v>
      </c>
      <c r="AS139" s="37">
        <f t="shared" si="111"/>
        <v>23.76</v>
      </c>
      <c r="AT139" s="40">
        <f t="shared" si="112"/>
        <v>96.284331287578979</v>
      </c>
    </row>
    <row r="140" spans="17:46" x14ac:dyDescent="0.3">
      <c r="Q140">
        <v>133</v>
      </c>
      <c r="R140" s="39">
        <f t="shared" si="88"/>
        <v>54</v>
      </c>
      <c r="S140" s="37">
        <f t="shared" si="89"/>
        <v>0.44333333333333336</v>
      </c>
      <c r="T140" s="37">
        <f t="shared" si="90"/>
        <v>45</v>
      </c>
      <c r="U140" s="40">
        <f t="shared" si="91"/>
        <v>0.54845360824742273</v>
      </c>
      <c r="V140" s="39">
        <f t="shared" si="92"/>
        <v>2</v>
      </c>
      <c r="W140" s="37">
        <f t="shared" si="93"/>
        <v>0.16666666666666663</v>
      </c>
      <c r="X140" s="40">
        <f t="shared" si="94"/>
        <v>0.83333333333333337</v>
      </c>
      <c r="Y140" s="39">
        <f t="shared" si="95"/>
        <v>0.30096308186195819</v>
      </c>
      <c r="Z140" s="37">
        <f t="shared" si="71"/>
        <v>0.69893514917840183</v>
      </c>
      <c r="AA140" s="37">
        <f t="shared" si="72"/>
        <v>0.55529234803534322</v>
      </c>
      <c r="AB140" s="37">
        <v>0</v>
      </c>
      <c r="AC140" s="37">
        <f t="shared" si="96"/>
        <v>7.0920406110919099E-2</v>
      </c>
      <c r="AD140" s="40">
        <f t="shared" si="105"/>
        <v>7.0920406110919099E-2</v>
      </c>
      <c r="AE140" s="39">
        <f t="shared" si="113"/>
        <v>9.1408934707903775E-2</v>
      </c>
      <c r="AF140" s="37">
        <f t="shared" si="106"/>
        <v>0.22669715179309327</v>
      </c>
      <c r="AG140" s="37">
        <f t="shared" si="97"/>
        <v>2.3640135370306354E-4</v>
      </c>
      <c r="AH140" s="37">
        <f t="shared" si="98"/>
        <v>0.26686321942328989</v>
      </c>
      <c r="AI140" s="40">
        <f t="shared" si="107"/>
        <v>0.26709962077699295</v>
      </c>
      <c r="AJ140" s="39">
        <f t="shared" si="108"/>
        <v>0.45704467353951894</v>
      </c>
      <c r="AK140" s="37">
        <f t="shared" si="99"/>
        <v>0.50691024171494492</v>
      </c>
      <c r="AL140" s="37">
        <f t="shared" si="100"/>
        <v>0.19950000000000001</v>
      </c>
      <c r="AM140" s="37">
        <f t="shared" si="101"/>
        <v>0.2423025</v>
      </c>
      <c r="AN140" s="40">
        <f t="shared" si="109"/>
        <v>0.44180249999999999</v>
      </c>
      <c r="AO140" s="39">
        <f t="shared" si="102"/>
        <v>3.0834959178660461E-3</v>
      </c>
      <c r="AP140" s="37">
        <f t="shared" si="103"/>
        <v>0.11834775000000002</v>
      </c>
      <c r="AQ140" s="40">
        <f t="shared" si="104"/>
        <v>2.0250000000000001E-2</v>
      </c>
      <c r="AR140" s="39">
        <f t="shared" si="110"/>
        <v>0.92150377280577811</v>
      </c>
      <c r="AS140" s="37">
        <f t="shared" si="111"/>
        <v>23.94</v>
      </c>
      <c r="AT140" s="40">
        <f t="shared" si="112"/>
        <v>96.293451187720407</v>
      </c>
    </row>
    <row r="141" spans="17:46" x14ac:dyDescent="0.3">
      <c r="Q141">
        <v>134</v>
      </c>
      <c r="R141" s="39">
        <f t="shared" si="88"/>
        <v>54</v>
      </c>
      <c r="S141" s="37">
        <f t="shared" si="89"/>
        <v>0.44666666666666671</v>
      </c>
      <c r="T141" s="37">
        <f t="shared" si="90"/>
        <v>45</v>
      </c>
      <c r="U141" s="40">
        <f t="shared" si="91"/>
        <v>0.5525773195876289</v>
      </c>
      <c r="V141" s="39">
        <f t="shared" si="92"/>
        <v>2</v>
      </c>
      <c r="W141" s="37">
        <f t="shared" si="93"/>
        <v>0.16666666666666663</v>
      </c>
      <c r="X141" s="40">
        <f t="shared" si="94"/>
        <v>0.83333333333333337</v>
      </c>
      <c r="Y141" s="39">
        <f t="shared" si="95"/>
        <v>0.30096308186195819</v>
      </c>
      <c r="Z141" s="37">
        <f t="shared" si="71"/>
        <v>0.703058860518608</v>
      </c>
      <c r="AA141" s="37">
        <f t="shared" si="72"/>
        <v>0.55936564562872093</v>
      </c>
      <c r="AB141" s="37">
        <v>0</v>
      </c>
      <c r="AC141" s="37">
        <f t="shared" si="96"/>
        <v>7.1964682867216231E-2</v>
      </c>
      <c r="AD141" s="40">
        <f t="shared" si="105"/>
        <v>7.1964682867216231E-2</v>
      </c>
      <c r="AE141" s="39">
        <f t="shared" si="113"/>
        <v>9.209621993127147E-2</v>
      </c>
      <c r="AF141" s="37">
        <f t="shared" si="106"/>
        <v>0.22836006857214033</v>
      </c>
      <c r="AG141" s="37">
        <f t="shared" si="97"/>
        <v>2.3988227622405412E-4</v>
      </c>
      <c r="AH141" s="37">
        <f t="shared" si="98"/>
        <v>0.2688697097948935</v>
      </c>
      <c r="AI141" s="40">
        <f t="shared" si="107"/>
        <v>0.26910959207111756</v>
      </c>
      <c r="AJ141" s="39">
        <f t="shared" si="108"/>
        <v>0.46048109965635742</v>
      </c>
      <c r="AK141" s="37">
        <f t="shared" si="99"/>
        <v>0.51062863667381919</v>
      </c>
      <c r="AL141" s="37">
        <f t="shared" si="100"/>
        <v>0.20100000000000001</v>
      </c>
      <c r="AM141" s="37">
        <f t="shared" si="101"/>
        <v>0.2423025</v>
      </c>
      <c r="AN141" s="40">
        <f t="shared" si="109"/>
        <v>0.44330250000000004</v>
      </c>
      <c r="AO141" s="39">
        <f t="shared" si="102"/>
        <v>3.1288992550963582E-3</v>
      </c>
      <c r="AP141" s="37">
        <f t="shared" si="103"/>
        <v>0.11834775000000002</v>
      </c>
      <c r="AQ141" s="40">
        <f t="shared" si="104"/>
        <v>2.0250000000000001E-2</v>
      </c>
      <c r="AR141" s="39">
        <f t="shared" si="110"/>
        <v>0.92610342419343017</v>
      </c>
      <c r="AS141" s="37">
        <f t="shared" si="111"/>
        <v>24.12</v>
      </c>
      <c r="AT141" s="40">
        <f t="shared" si="112"/>
        <v>96.302405174535622</v>
      </c>
    </row>
    <row r="142" spans="17:46" x14ac:dyDescent="0.3">
      <c r="Q142">
        <v>135</v>
      </c>
      <c r="R142" s="39">
        <f t="shared" si="88"/>
        <v>54</v>
      </c>
      <c r="S142" s="37">
        <f t="shared" si="89"/>
        <v>0.45</v>
      </c>
      <c r="T142" s="37">
        <f t="shared" si="90"/>
        <v>45</v>
      </c>
      <c r="U142" s="40">
        <f t="shared" si="91"/>
        <v>0.55670103092783507</v>
      </c>
      <c r="V142" s="39">
        <f t="shared" si="92"/>
        <v>2</v>
      </c>
      <c r="W142" s="37">
        <f t="shared" si="93"/>
        <v>0.16666666666666663</v>
      </c>
      <c r="X142" s="40">
        <f t="shared" si="94"/>
        <v>0.83333333333333337</v>
      </c>
      <c r="Y142" s="39">
        <f t="shared" si="95"/>
        <v>0.30096308186195819</v>
      </c>
      <c r="Z142" s="37">
        <f t="shared" si="71"/>
        <v>0.70718257185881417</v>
      </c>
      <c r="AA142" s="37">
        <f t="shared" si="72"/>
        <v>0.56343967664968508</v>
      </c>
      <c r="AB142" s="37">
        <v>0</v>
      </c>
      <c r="AC142" s="37">
        <f t="shared" si="96"/>
        <v>7.301678192131339E-2</v>
      </c>
      <c r="AD142" s="40">
        <f t="shared" si="105"/>
        <v>7.301678192131339E-2</v>
      </c>
      <c r="AE142" s="39">
        <f t="shared" si="113"/>
        <v>9.2783505154639165E-2</v>
      </c>
      <c r="AF142" s="37">
        <f t="shared" si="106"/>
        <v>0.23002328477174569</v>
      </c>
      <c r="AG142" s="37">
        <f t="shared" si="97"/>
        <v>2.4338927307104459E-4</v>
      </c>
      <c r="AH142" s="37">
        <f t="shared" si="98"/>
        <v>0.27087620016649722</v>
      </c>
      <c r="AI142" s="40">
        <f t="shared" si="107"/>
        <v>0.27111958943956826</v>
      </c>
      <c r="AJ142" s="39">
        <f t="shared" si="108"/>
        <v>0.46391752577319589</v>
      </c>
      <c r="AK142" s="37">
        <f t="shared" si="99"/>
        <v>0.51434770115741568</v>
      </c>
      <c r="AL142" s="37">
        <f t="shared" si="100"/>
        <v>0.20250000000000001</v>
      </c>
      <c r="AM142" s="37">
        <f t="shared" si="101"/>
        <v>0.2423025</v>
      </c>
      <c r="AN142" s="40">
        <f t="shared" si="109"/>
        <v>0.44480249999999999</v>
      </c>
      <c r="AO142" s="39">
        <f t="shared" si="102"/>
        <v>3.1746426922310165E-3</v>
      </c>
      <c r="AP142" s="37">
        <f t="shared" si="103"/>
        <v>0.11834775000000002</v>
      </c>
      <c r="AQ142" s="40">
        <f t="shared" si="104"/>
        <v>2.0250000000000001E-2</v>
      </c>
      <c r="AR142" s="39">
        <f t="shared" si="110"/>
        <v>0.93071126405311255</v>
      </c>
      <c r="AS142" s="37">
        <f t="shared" si="111"/>
        <v>24.3</v>
      </c>
      <c r="AT142" s="40">
        <f t="shared" si="112"/>
        <v>96.311196881004619</v>
      </c>
    </row>
    <row r="143" spans="17:46" x14ac:dyDescent="0.3">
      <c r="Q143">
        <v>136</v>
      </c>
      <c r="R143" s="39">
        <f t="shared" si="88"/>
        <v>54</v>
      </c>
      <c r="S143" s="37">
        <f t="shared" si="89"/>
        <v>0.45333333333333337</v>
      </c>
      <c r="T143" s="37">
        <f t="shared" si="90"/>
        <v>45</v>
      </c>
      <c r="U143" s="40">
        <f t="shared" si="91"/>
        <v>0.56082474226804124</v>
      </c>
      <c r="V143" s="39">
        <f t="shared" si="92"/>
        <v>2</v>
      </c>
      <c r="W143" s="37">
        <f t="shared" si="93"/>
        <v>0.16666666666666663</v>
      </c>
      <c r="X143" s="40">
        <f t="shared" si="94"/>
        <v>0.83333333333333337</v>
      </c>
      <c r="Y143" s="39">
        <f t="shared" si="95"/>
        <v>0.30096308186195819</v>
      </c>
      <c r="Z143" s="37">
        <f t="shared" si="71"/>
        <v>0.71130628319902034</v>
      </c>
      <c r="AA143" s="37">
        <f t="shared" si="72"/>
        <v>0.56751442530300689</v>
      </c>
      <c r="AB143" s="37">
        <v>0</v>
      </c>
      <c r="AC143" s="37">
        <f t="shared" si="96"/>
        <v>7.4076703273210504E-2</v>
      </c>
      <c r="AD143" s="40">
        <f t="shared" si="105"/>
        <v>7.4076703273210504E-2</v>
      </c>
      <c r="AE143" s="39">
        <f t="shared" si="113"/>
        <v>9.347079037800686E-2</v>
      </c>
      <c r="AF143" s="37">
        <f t="shared" si="106"/>
        <v>0.23168679394353422</v>
      </c>
      <c r="AG143" s="37">
        <f t="shared" si="97"/>
        <v>2.4692234424403492E-4</v>
      </c>
      <c r="AH143" s="37">
        <f t="shared" si="98"/>
        <v>0.27288269053810088</v>
      </c>
      <c r="AI143" s="40">
        <f t="shared" si="107"/>
        <v>0.27312961288234494</v>
      </c>
      <c r="AJ143" s="39">
        <f t="shared" si="108"/>
        <v>0.46735395189003437</v>
      </c>
      <c r="AK143" s="37">
        <f t="shared" si="99"/>
        <v>0.51806742074672918</v>
      </c>
      <c r="AL143" s="37">
        <f t="shared" si="100"/>
        <v>0.20400000000000001</v>
      </c>
      <c r="AM143" s="37">
        <f t="shared" si="101"/>
        <v>0.2423025</v>
      </c>
      <c r="AN143" s="40">
        <f t="shared" si="109"/>
        <v>0.44630250000000005</v>
      </c>
      <c r="AO143" s="39">
        <f t="shared" si="102"/>
        <v>3.2207262292700211E-3</v>
      </c>
      <c r="AP143" s="37">
        <f t="shared" si="103"/>
        <v>0.11834775000000002</v>
      </c>
      <c r="AQ143" s="40">
        <f t="shared" si="104"/>
        <v>2.0250000000000001E-2</v>
      </c>
      <c r="AR143" s="39">
        <f t="shared" si="110"/>
        <v>0.93532729238482537</v>
      </c>
      <c r="AS143" s="37">
        <f t="shared" si="111"/>
        <v>24.48</v>
      </c>
      <c r="AT143" s="40">
        <f t="shared" si="112"/>
        <v>96.319829834868671</v>
      </c>
    </row>
    <row r="144" spans="17:46" x14ac:dyDescent="0.3">
      <c r="Q144">
        <v>137</v>
      </c>
      <c r="R144" s="39">
        <f t="shared" si="88"/>
        <v>54</v>
      </c>
      <c r="S144" s="37">
        <f t="shared" si="89"/>
        <v>0.45666666666666672</v>
      </c>
      <c r="T144" s="37">
        <f t="shared" si="90"/>
        <v>45</v>
      </c>
      <c r="U144" s="40">
        <f t="shared" si="91"/>
        <v>0.56494845360824753</v>
      </c>
      <c r="V144" s="39">
        <f t="shared" si="92"/>
        <v>2</v>
      </c>
      <c r="W144" s="37">
        <f t="shared" si="93"/>
        <v>0.16666666666666663</v>
      </c>
      <c r="X144" s="40">
        <f t="shared" si="94"/>
        <v>0.83333333333333337</v>
      </c>
      <c r="Y144" s="39">
        <f t="shared" si="95"/>
        <v>0.30096308186195819</v>
      </c>
      <c r="Z144" s="37">
        <f t="shared" ref="Z144:Z157" si="114">CHOOSE(V144,Y144,U144+(0.5*Y144))</f>
        <v>0.71542999453922662</v>
      </c>
      <c r="AA144" s="37">
        <f t="shared" ref="AA144:AA157" si="115">CHOOSE(V144,Z144*SQRT((W144+X144)/3),SQRT((U144^2)+((Y144^2)/12)))</f>
        <v>0.57158987624111879</v>
      </c>
      <c r="AB144" s="37">
        <v>0</v>
      </c>
      <c r="AC144" s="37">
        <f t="shared" si="96"/>
        <v>7.5144446922907615E-2</v>
      </c>
      <c r="AD144" s="40">
        <f t="shared" si="105"/>
        <v>7.5144446922907615E-2</v>
      </c>
      <c r="AE144" s="39">
        <f t="shared" si="113"/>
        <v>9.4158075601374569E-2</v>
      </c>
      <c r="AF144" s="37">
        <f t="shared" si="106"/>
        <v>0.23335058982188775</v>
      </c>
      <c r="AG144" s="37">
        <f t="shared" si="97"/>
        <v>2.5048148974302537E-4</v>
      </c>
      <c r="AH144" s="37">
        <f t="shared" si="98"/>
        <v>0.2748891809097046</v>
      </c>
      <c r="AI144" s="40">
        <f t="shared" si="107"/>
        <v>0.27513966239944765</v>
      </c>
      <c r="AJ144" s="39">
        <f t="shared" si="108"/>
        <v>0.47079037800687296</v>
      </c>
      <c r="AK144" s="37">
        <f t="shared" si="99"/>
        <v>0.52178778143141158</v>
      </c>
      <c r="AL144" s="37">
        <f t="shared" si="100"/>
        <v>0.20550000000000002</v>
      </c>
      <c r="AM144" s="37">
        <f t="shared" si="101"/>
        <v>0.2423025</v>
      </c>
      <c r="AN144" s="40">
        <f t="shared" si="109"/>
        <v>0.44780249999999999</v>
      </c>
      <c r="AO144" s="39">
        <f t="shared" si="102"/>
        <v>3.267149866213374E-3</v>
      </c>
      <c r="AP144" s="37">
        <f t="shared" si="103"/>
        <v>0.11834775000000002</v>
      </c>
      <c r="AQ144" s="40">
        <f t="shared" si="104"/>
        <v>2.0250000000000001E-2</v>
      </c>
      <c r="AR144" s="39">
        <f t="shared" si="110"/>
        <v>0.93995150918856862</v>
      </c>
      <c r="AS144" s="37">
        <f t="shared" si="111"/>
        <v>24.660000000000004</v>
      </c>
      <c r="AT144" s="40">
        <f t="shared" si="112"/>
        <v>96.328307462413775</v>
      </c>
    </row>
    <row r="145" spans="17:46" x14ac:dyDescent="0.3">
      <c r="Q145">
        <v>138</v>
      </c>
      <c r="R145" s="39">
        <f t="shared" si="88"/>
        <v>54</v>
      </c>
      <c r="S145" s="37">
        <f t="shared" si="89"/>
        <v>0.46</v>
      </c>
      <c r="T145" s="37">
        <f t="shared" si="90"/>
        <v>45</v>
      </c>
      <c r="U145" s="40">
        <f t="shared" si="91"/>
        <v>0.56907216494845358</v>
      </c>
      <c r="V145" s="39">
        <f t="shared" si="92"/>
        <v>2</v>
      </c>
      <c r="W145" s="37">
        <f t="shared" si="93"/>
        <v>0.16666666666666663</v>
      </c>
      <c r="X145" s="40">
        <f t="shared" si="94"/>
        <v>0.83333333333333337</v>
      </c>
      <c r="Y145" s="39">
        <f t="shared" si="95"/>
        <v>0.30096308186195819</v>
      </c>
      <c r="Z145" s="37">
        <f t="shared" si="114"/>
        <v>0.71955370587943268</v>
      </c>
      <c r="AA145" s="37">
        <f t="shared" si="115"/>
        <v>0.57566601454845956</v>
      </c>
      <c r="AB145" s="37">
        <v>0</v>
      </c>
      <c r="AC145" s="37">
        <f t="shared" si="96"/>
        <v>7.6220012870404683E-2</v>
      </c>
      <c r="AD145" s="40">
        <f t="shared" si="105"/>
        <v>7.6220012870404683E-2</v>
      </c>
      <c r="AE145" s="39">
        <f t="shared" si="113"/>
        <v>9.4845360824742236E-2</v>
      </c>
      <c r="AF145" s="37">
        <f t="shared" si="106"/>
        <v>0.23501466631755388</v>
      </c>
      <c r="AG145" s="37">
        <f t="shared" si="97"/>
        <v>2.5406670956801551E-4</v>
      </c>
      <c r="AH145" s="37">
        <f t="shared" si="98"/>
        <v>0.27689567128130821</v>
      </c>
      <c r="AI145" s="40">
        <f t="shared" si="107"/>
        <v>0.27714973799087622</v>
      </c>
      <c r="AJ145" s="39">
        <f t="shared" si="108"/>
        <v>0.47422680412371132</v>
      </c>
      <c r="AK145" s="37">
        <f t="shared" si="99"/>
        <v>0.52550876959548076</v>
      </c>
      <c r="AL145" s="37">
        <f t="shared" si="100"/>
        <v>0.20700000000000002</v>
      </c>
      <c r="AM145" s="37">
        <f t="shared" si="101"/>
        <v>0.2423025</v>
      </c>
      <c r="AN145" s="40">
        <f t="shared" si="109"/>
        <v>0.44930250000000005</v>
      </c>
      <c r="AO145" s="39">
        <f t="shared" si="102"/>
        <v>3.3139136030610715E-3</v>
      </c>
      <c r="AP145" s="37">
        <f t="shared" si="103"/>
        <v>0.11834775000000002</v>
      </c>
      <c r="AQ145" s="40">
        <f t="shared" si="104"/>
        <v>2.0250000000000001E-2</v>
      </c>
      <c r="AR145" s="39">
        <f t="shared" si="110"/>
        <v>0.94458391446434198</v>
      </c>
      <c r="AS145" s="37">
        <f t="shared" si="111"/>
        <v>24.84</v>
      </c>
      <c r="AT145" s="40">
        <f t="shared" si="112"/>
        <v>96.33663309209166</v>
      </c>
    </row>
    <row r="146" spans="17:46" x14ac:dyDescent="0.3">
      <c r="Q146">
        <v>139</v>
      </c>
      <c r="R146" s="39">
        <f t="shared" si="88"/>
        <v>54</v>
      </c>
      <c r="S146" s="37">
        <f t="shared" si="89"/>
        <v>0.46333333333333337</v>
      </c>
      <c r="T146" s="37">
        <f t="shared" si="90"/>
        <v>45</v>
      </c>
      <c r="U146" s="40">
        <f t="shared" si="91"/>
        <v>0.57319587628865987</v>
      </c>
      <c r="V146" s="39">
        <f t="shared" si="92"/>
        <v>2</v>
      </c>
      <c r="W146" s="37">
        <f t="shared" si="93"/>
        <v>0.16666666666666663</v>
      </c>
      <c r="X146" s="40">
        <f t="shared" si="94"/>
        <v>0.83333333333333337</v>
      </c>
      <c r="Y146" s="39">
        <f t="shared" si="95"/>
        <v>0.30096308186195819</v>
      </c>
      <c r="Z146" s="37">
        <f t="shared" si="114"/>
        <v>0.72367741721963896</v>
      </c>
      <c r="AA146" s="37">
        <f t="shared" si="115"/>
        <v>0.57974282572646985</v>
      </c>
      <c r="AB146" s="37">
        <v>0</v>
      </c>
      <c r="AC146" s="37">
        <f t="shared" si="96"/>
        <v>7.7303401115701761E-2</v>
      </c>
      <c r="AD146" s="40">
        <f t="shared" si="105"/>
        <v>7.7303401115701761E-2</v>
      </c>
      <c r="AE146" s="39">
        <f t="shared" si="113"/>
        <v>9.5532646048109959E-2</v>
      </c>
      <c r="AF146" s="37">
        <f t="shared" si="106"/>
        <v>0.23667901751152054</v>
      </c>
      <c r="AG146" s="37">
        <f t="shared" si="97"/>
        <v>2.5767800371900574E-4</v>
      </c>
      <c r="AH146" s="37">
        <f t="shared" si="98"/>
        <v>0.27890216165291198</v>
      </c>
      <c r="AI146" s="40">
        <f t="shared" si="107"/>
        <v>0.27915983965663099</v>
      </c>
      <c r="AJ146" s="39">
        <f t="shared" si="108"/>
        <v>0.47766323024054991</v>
      </c>
      <c r="AK146" s="37">
        <f t="shared" si="99"/>
        <v>0.52923037200362311</v>
      </c>
      <c r="AL146" s="37">
        <f t="shared" si="100"/>
        <v>0.20850000000000002</v>
      </c>
      <c r="AM146" s="37">
        <f t="shared" si="101"/>
        <v>0.2423025</v>
      </c>
      <c r="AN146" s="40">
        <f t="shared" si="109"/>
        <v>0.45080249999999999</v>
      </c>
      <c r="AO146" s="39">
        <f t="shared" si="102"/>
        <v>3.3610174398131186E-3</v>
      </c>
      <c r="AP146" s="37">
        <f t="shared" si="103"/>
        <v>0.11834775000000002</v>
      </c>
      <c r="AQ146" s="40">
        <f t="shared" si="104"/>
        <v>2.0250000000000001E-2</v>
      </c>
      <c r="AR146" s="39">
        <f t="shared" si="110"/>
        <v>0.94922450821214588</v>
      </c>
      <c r="AS146" s="37">
        <f t="shared" si="111"/>
        <v>25.020000000000003</v>
      </c>
      <c r="AT146" s="40">
        <f t="shared" si="112"/>
        <v>96.344809957987081</v>
      </c>
    </row>
    <row r="147" spans="17:46" x14ac:dyDescent="0.3">
      <c r="Q147">
        <v>140</v>
      </c>
      <c r="R147" s="39">
        <f t="shared" si="88"/>
        <v>54</v>
      </c>
      <c r="S147" s="37">
        <f t="shared" si="89"/>
        <v>0.46666666666666667</v>
      </c>
      <c r="T147" s="37">
        <f t="shared" si="90"/>
        <v>45</v>
      </c>
      <c r="U147" s="40">
        <f t="shared" si="91"/>
        <v>0.57731958762886593</v>
      </c>
      <c r="V147" s="39">
        <f t="shared" si="92"/>
        <v>2</v>
      </c>
      <c r="W147" s="37">
        <f t="shared" si="93"/>
        <v>0.16666666666666663</v>
      </c>
      <c r="X147" s="40">
        <f t="shared" si="94"/>
        <v>0.83333333333333337</v>
      </c>
      <c r="Y147" s="39">
        <f t="shared" si="95"/>
        <v>0.30096308186195819</v>
      </c>
      <c r="Z147" s="37">
        <f t="shared" si="114"/>
        <v>0.72780112855984502</v>
      </c>
      <c r="AA147" s="37">
        <f t="shared" si="115"/>
        <v>0.58382029567920224</v>
      </c>
      <c r="AB147" s="37">
        <v>0</v>
      </c>
      <c r="AC147" s="37">
        <f t="shared" si="96"/>
        <v>7.8394611658798768E-2</v>
      </c>
      <c r="AD147" s="40">
        <f t="shared" si="105"/>
        <v>7.8394611658798768E-2</v>
      </c>
      <c r="AE147" s="39">
        <f t="shared" si="113"/>
        <v>9.6219931271477627E-2</v>
      </c>
      <c r="AF147" s="37">
        <f t="shared" si="106"/>
        <v>0.23834363764914132</v>
      </c>
      <c r="AG147" s="37">
        <f t="shared" si="97"/>
        <v>2.6131537219599579E-4</v>
      </c>
      <c r="AH147" s="37">
        <f t="shared" si="98"/>
        <v>0.28090865202451559</v>
      </c>
      <c r="AI147" s="40">
        <f t="shared" si="107"/>
        <v>0.28116996739671157</v>
      </c>
      <c r="AJ147" s="39">
        <f t="shared" si="108"/>
        <v>0.48109965635738827</v>
      </c>
      <c r="AK147" s="37">
        <f t="shared" si="99"/>
        <v>0.53295257578805821</v>
      </c>
      <c r="AL147" s="37">
        <f t="shared" si="100"/>
        <v>0.21000000000000002</v>
      </c>
      <c r="AM147" s="37">
        <f t="shared" si="101"/>
        <v>0.2423025</v>
      </c>
      <c r="AN147" s="40">
        <f t="shared" si="109"/>
        <v>0.45230250000000005</v>
      </c>
      <c r="AO147" s="39">
        <f t="shared" si="102"/>
        <v>3.4084613764695103E-3</v>
      </c>
      <c r="AP147" s="37">
        <f t="shared" si="103"/>
        <v>0.11834775000000002</v>
      </c>
      <c r="AQ147" s="40">
        <f t="shared" si="104"/>
        <v>2.0250000000000001E-2</v>
      </c>
      <c r="AR147" s="39">
        <f t="shared" si="110"/>
        <v>0.95387329043197988</v>
      </c>
      <c r="AS147" s="37">
        <f t="shared" si="111"/>
        <v>25.2</v>
      </c>
      <c r="AT147" s="40">
        <f t="shared" si="112"/>
        <v>96.352841203138581</v>
      </c>
    </row>
    <row r="148" spans="17:46" x14ac:dyDescent="0.3">
      <c r="Q148">
        <v>141</v>
      </c>
      <c r="R148" s="39">
        <f t="shared" si="88"/>
        <v>54</v>
      </c>
      <c r="S148" s="37">
        <f t="shared" si="89"/>
        <v>0.47000000000000003</v>
      </c>
      <c r="T148" s="37">
        <f t="shared" si="90"/>
        <v>45</v>
      </c>
      <c r="U148" s="40">
        <f t="shared" si="91"/>
        <v>0.58144329896907221</v>
      </c>
      <c r="V148" s="39">
        <f t="shared" si="92"/>
        <v>2</v>
      </c>
      <c r="W148" s="37">
        <f t="shared" si="93"/>
        <v>0.16666666666666663</v>
      </c>
      <c r="X148" s="40">
        <f t="shared" si="94"/>
        <v>0.83333333333333337</v>
      </c>
      <c r="Y148" s="39">
        <f t="shared" si="95"/>
        <v>0.30096308186195819</v>
      </c>
      <c r="Z148" s="37">
        <f t="shared" si="114"/>
        <v>0.73192483990005131</v>
      </c>
      <c r="AA148" s="37">
        <f t="shared" si="115"/>
        <v>0.58789841069952309</v>
      </c>
      <c r="AB148" s="37">
        <v>0</v>
      </c>
      <c r="AC148" s="37">
        <f t="shared" si="96"/>
        <v>7.9493644499695773E-2</v>
      </c>
      <c r="AD148" s="40">
        <f t="shared" si="105"/>
        <v>7.9493644499695773E-2</v>
      </c>
      <c r="AE148" s="39">
        <f t="shared" si="113"/>
        <v>9.690721649484535E-2</v>
      </c>
      <c r="AF148" s="37">
        <f t="shared" si="106"/>
        <v>0.24000852113450233</v>
      </c>
      <c r="AG148" s="37">
        <f t="shared" si="97"/>
        <v>2.6497881499898591E-4</v>
      </c>
      <c r="AH148" s="37">
        <f t="shared" si="98"/>
        <v>0.28291514239611931</v>
      </c>
      <c r="AI148" s="40">
        <f t="shared" si="107"/>
        <v>0.2831801212111183</v>
      </c>
      <c r="AJ148" s="39">
        <f t="shared" si="108"/>
        <v>0.48453608247422686</v>
      </c>
      <c r="AK148" s="37">
        <f t="shared" si="99"/>
        <v>0.53667536843594232</v>
      </c>
      <c r="AL148" s="37">
        <f t="shared" si="100"/>
        <v>0.21150000000000002</v>
      </c>
      <c r="AM148" s="37">
        <f t="shared" si="101"/>
        <v>0.2423025</v>
      </c>
      <c r="AN148" s="40">
        <f t="shared" si="109"/>
        <v>0.4538025</v>
      </c>
      <c r="AO148" s="39">
        <f t="shared" si="102"/>
        <v>3.4562454130302508E-3</v>
      </c>
      <c r="AP148" s="37">
        <f t="shared" si="103"/>
        <v>0.11834775000000002</v>
      </c>
      <c r="AQ148" s="40">
        <f t="shared" si="104"/>
        <v>2.0250000000000001E-2</v>
      </c>
      <c r="AR148" s="39">
        <f t="shared" si="110"/>
        <v>0.95853026112384432</v>
      </c>
      <c r="AS148" s="37">
        <f t="shared" si="111"/>
        <v>25.380000000000003</v>
      </c>
      <c r="AT148" s="40">
        <f t="shared" si="112"/>
        <v>96.360729882719937</v>
      </c>
    </row>
    <row r="149" spans="17:46" x14ac:dyDescent="0.3">
      <c r="Q149">
        <v>142</v>
      </c>
      <c r="R149" s="39">
        <f t="shared" si="88"/>
        <v>54</v>
      </c>
      <c r="S149" s="37">
        <f t="shared" si="89"/>
        <v>0.47333333333333338</v>
      </c>
      <c r="T149" s="37">
        <f t="shared" si="90"/>
        <v>45</v>
      </c>
      <c r="U149" s="40">
        <f t="shared" si="91"/>
        <v>0.58556701030927838</v>
      </c>
      <c r="V149" s="39">
        <f t="shared" si="92"/>
        <v>2</v>
      </c>
      <c r="W149" s="37">
        <f t="shared" si="93"/>
        <v>0.16666666666666663</v>
      </c>
      <c r="X149" s="40">
        <f t="shared" si="94"/>
        <v>0.83333333333333337</v>
      </c>
      <c r="Y149" s="39">
        <f t="shared" si="95"/>
        <v>0.30096308186195819</v>
      </c>
      <c r="Z149" s="37">
        <f t="shared" si="114"/>
        <v>0.73604855124025748</v>
      </c>
      <c r="AA149" s="37">
        <f t="shared" si="115"/>
        <v>0.59197715745587165</v>
      </c>
      <c r="AB149" s="37">
        <v>0</v>
      </c>
      <c r="AC149" s="37">
        <f t="shared" si="96"/>
        <v>8.0600499638392789E-2</v>
      </c>
      <c r="AD149" s="40">
        <f t="shared" si="105"/>
        <v>8.0600499638392789E-2</v>
      </c>
      <c r="AE149" s="39">
        <f t="shared" si="113"/>
        <v>9.7594501718213045E-2</v>
      </c>
      <c r="AF149" s="37">
        <f t="shared" si="106"/>
        <v>0.24167366252501662</v>
      </c>
      <c r="AG149" s="37">
        <f t="shared" si="97"/>
        <v>2.6866833212797585E-4</v>
      </c>
      <c r="AH149" s="37">
        <f t="shared" si="98"/>
        <v>0.28492163276772298</v>
      </c>
      <c r="AI149" s="40">
        <f t="shared" si="107"/>
        <v>0.28519030109985094</v>
      </c>
      <c r="AJ149" s="39">
        <f t="shared" si="108"/>
        <v>0.48797250859106533</v>
      </c>
      <c r="AK149" s="37">
        <f t="shared" si="99"/>
        <v>0.54039873777728076</v>
      </c>
      <c r="AL149" s="37">
        <f t="shared" si="100"/>
        <v>0.21300000000000002</v>
      </c>
      <c r="AM149" s="37">
        <f t="shared" si="101"/>
        <v>0.2423025</v>
      </c>
      <c r="AN149" s="40">
        <f t="shared" si="109"/>
        <v>0.45530250000000005</v>
      </c>
      <c r="AO149" s="39">
        <f t="shared" si="102"/>
        <v>3.5043695494953371E-3</v>
      </c>
      <c r="AP149" s="37">
        <f t="shared" si="103"/>
        <v>0.11834775000000002</v>
      </c>
      <c r="AQ149" s="40">
        <f t="shared" si="104"/>
        <v>2.0250000000000001E-2</v>
      </c>
      <c r="AR149" s="39">
        <f t="shared" si="110"/>
        <v>0.96319542028773908</v>
      </c>
      <c r="AS149" s="37">
        <f t="shared" si="111"/>
        <v>25.560000000000002</v>
      </c>
      <c r="AT149" s="40">
        <f t="shared" si="112"/>
        <v>96.368478967089359</v>
      </c>
    </row>
    <row r="150" spans="17:46" x14ac:dyDescent="0.3">
      <c r="Q150">
        <v>143</v>
      </c>
      <c r="R150" s="39">
        <f t="shared" si="88"/>
        <v>54</v>
      </c>
      <c r="S150" s="37">
        <f t="shared" si="89"/>
        <v>0.47666666666666668</v>
      </c>
      <c r="T150" s="37">
        <f t="shared" si="90"/>
        <v>45</v>
      </c>
      <c r="U150" s="40">
        <f t="shared" si="91"/>
        <v>0.58969072164948455</v>
      </c>
      <c r="V150" s="39">
        <f t="shared" si="92"/>
        <v>2</v>
      </c>
      <c r="W150" s="37">
        <f t="shared" si="93"/>
        <v>0.16666666666666663</v>
      </c>
      <c r="X150" s="40">
        <f t="shared" si="94"/>
        <v>0.83333333333333337</v>
      </c>
      <c r="Y150" s="39">
        <f t="shared" si="95"/>
        <v>0.30096308186195819</v>
      </c>
      <c r="Z150" s="37">
        <f t="shared" si="114"/>
        <v>0.74017226258046365</v>
      </c>
      <c r="AA150" s="37">
        <f t="shared" si="115"/>
        <v>0.59605652297955536</v>
      </c>
      <c r="AB150" s="37">
        <v>0</v>
      </c>
      <c r="AC150" s="37">
        <f t="shared" si="96"/>
        <v>8.1715177074889761E-2</v>
      </c>
      <c r="AD150" s="40">
        <f t="shared" si="105"/>
        <v>8.1715177074889761E-2</v>
      </c>
      <c r="AE150" s="39">
        <f t="shared" si="113"/>
        <v>9.828178694158074E-2</v>
      </c>
      <c r="AF150" s="37">
        <f t="shared" si="106"/>
        <v>0.24333905652623775</v>
      </c>
      <c r="AG150" s="37">
        <f t="shared" si="97"/>
        <v>2.7238392358296581E-4</v>
      </c>
      <c r="AH150" s="37">
        <f t="shared" si="98"/>
        <v>0.2869281231393267</v>
      </c>
      <c r="AI150" s="40">
        <f t="shared" si="107"/>
        <v>0.28720050706290967</v>
      </c>
      <c r="AJ150" s="39">
        <f t="shared" si="108"/>
        <v>0.49140893470790381</v>
      </c>
      <c r="AK150" s="37">
        <f t="shared" si="99"/>
        <v>0.54412267197333153</v>
      </c>
      <c r="AL150" s="37">
        <f t="shared" si="100"/>
        <v>0.21450000000000002</v>
      </c>
      <c r="AM150" s="37">
        <f t="shared" si="101"/>
        <v>0.2423025</v>
      </c>
      <c r="AN150" s="40">
        <f t="shared" si="109"/>
        <v>0.4568025</v>
      </c>
      <c r="AO150" s="39">
        <f t="shared" si="102"/>
        <v>3.5528337858647717E-3</v>
      </c>
      <c r="AP150" s="37">
        <f t="shared" si="103"/>
        <v>0.11834775000000002</v>
      </c>
      <c r="AQ150" s="40">
        <f t="shared" si="104"/>
        <v>2.0250000000000001E-2</v>
      </c>
      <c r="AR150" s="39">
        <f t="shared" si="110"/>
        <v>0.96786876792366416</v>
      </c>
      <c r="AS150" s="37">
        <f t="shared" si="111"/>
        <v>25.740000000000002</v>
      </c>
      <c r="AT150" s="40">
        <f t="shared" si="112"/>
        <v>96.376091344712307</v>
      </c>
    </row>
    <row r="151" spans="17:46" x14ac:dyDescent="0.3">
      <c r="Q151">
        <v>144</v>
      </c>
      <c r="R151" s="39">
        <f t="shared" si="88"/>
        <v>54</v>
      </c>
      <c r="S151" s="37">
        <f t="shared" si="89"/>
        <v>0.48000000000000004</v>
      </c>
      <c r="T151" s="37">
        <f t="shared" si="90"/>
        <v>45</v>
      </c>
      <c r="U151" s="40">
        <f t="shared" si="91"/>
        <v>0.59381443298969083</v>
      </c>
      <c r="V151" s="39">
        <f t="shared" si="92"/>
        <v>2</v>
      </c>
      <c r="W151" s="37">
        <f t="shared" si="93"/>
        <v>0.16666666666666663</v>
      </c>
      <c r="X151" s="40">
        <f t="shared" si="94"/>
        <v>0.83333333333333337</v>
      </c>
      <c r="Y151" s="39">
        <f t="shared" si="95"/>
        <v>0.30096308186195819</v>
      </c>
      <c r="Z151" s="37">
        <f t="shared" si="114"/>
        <v>0.74429597392066993</v>
      </c>
      <c r="AA151" s="37">
        <f t="shared" si="115"/>
        <v>0.60013649465255425</v>
      </c>
      <c r="AB151" s="37">
        <v>0</v>
      </c>
      <c r="AC151" s="37">
        <f t="shared" si="96"/>
        <v>8.2837676809186717E-2</v>
      </c>
      <c r="AD151" s="40">
        <f t="shared" si="105"/>
        <v>8.2837676809186717E-2</v>
      </c>
      <c r="AE151" s="39">
        <f t="shared" si="113"/>
        <v>9.8969072164948449E-2</v>
      </c>
      <c r="AF151" s="37">
        <f t="shared" si="106"/>
        <v>0.24500469798688054</v>
      </c>
      <c r="AG151" s="37">
        <f t="shared" si="97"/>
        <v>2.761255893639557E-4</v>
      </c>
      <c r="AH151" s="37">
        <f t="shared" si="98"/>
        <v>0.28893461351093042</v>
      </c>
      <c r="AI151" s="40">
        <f t="shared" si="107"/>
        <v>0.28921073910029438</v>
      </c>
      <c r="AJ151" s="39">
        <f t="shared" si="108"/>
        <v>0.4948453608247424</v>
      </c>
      <c r="AK151" s="37">
        <f t="shared" si="99"/>
        <v>0.5478471595054708</v>
      </c>
      <c r="AL151" s="37">
        <f t="shared" si="100"/>
        <v>0.21600000000000003</v>
      </c>
      <c r="AM151" s="37">
        <f t="shared" si="101"/>
        <v>0.2423025</v>
      </c>
      <c r="AN151" s="40">
        <f t="shared" si="109"/>
        <v>0.45830250000000006</v>
      </c>
      <c r="AO151" s="39">
        <f t="shared" si="102"/>
        <v>3.6016381221385526E-3</v>
      </c>
      <c r="AP151" s="37">
        <f t="shared" si="103"/>
        <v>0.11834775000000002</v>
      </c>
      <c r="AQ151" s="40">
        <f t="shared" si="104"/>
        <v>2.0250000000000001E-2</v>
      </c>
      <c r="AR151" s="39">
        <f t="shared" si="110"/>
        <v>0.97255030403161968</v>
      </c>
      <c r="AS151" s="37">
        <f t="shared" si="111"/>
        <v>25.92</v>
      </c>
      <c r="AT151" s="40">
        <f t="shared" si="112"/>
        <v>96.383569824964425</v>
      </c>
    </row>
    <row r="152" spans="17:46" x14ac:dyDescent="0.3">
      <c r="Q152">
        <v>145</v>
      </c>
      <c r="R152" s="39">
        <f t="shared" si="88"/>
        <v>54</v>
      </c>
      <c r="S152" s="37">
        <f t="shared" si="89"/>
        <v>0.48333333333333334</v>
      </c>
      <c r="T152" s="37">
        <f t="shared" si="90"/>
        <v>45</v>
      </c>
      <c r="U152" s="40">
        <f t="shared" si="91"/>
        <v>0.597938144329897</v>
      </c>
      <c r="V152" s="39">
        <f t="shared" si="92"/>
        <v>2</v>
      </c>
      <c r="W152" s="37">
        <f t="shared" si="93"/>
        <v>0.16666666666666663</v>
      </c>
      <c r="X152" s="40">
        <f t="shared" si="94"/>
        <v>0.83333333333333337</v>
      </c>
      <c r="Y152" s="39">
        <f t="shared" si="95"/>
        <v>0.30096308186195819</v>
      </c>
      <c r="Z152" s="37">
        <f t="shared" si="114"/>
        <v>0.7484196852608761</v>
      </c>
      <c r="AA152" s="37">
        <f t="shared" si="115"/>
        <v>0.60421706019581078</v>
      </c>
      <c r="AB152" s="37">
        <v>0</v>
      </c>
      <c r="AC152" s="37">
        <f t="shared" si="96"/>
        <v>8.3967998841283656E-2</v>
      </c>
      <c r="AD152" s="40">
        <f t="shared" si="105"/>
        <v>8.3967998841283656E-2</v>
      </c>
      <c r="AE152" s="39">
        <f t="shared" si="113"/>
        <v>9.9656357388316144E-2</v>
      </c>
      <c r="AF152" s="37">
        <f t="shared" si="106"/>
        <v>0.24667058189404076</v>
      </c>
      <c r="AG152" s="37">
        <f t="shared" si="97"/>
        <v>2.7989332947094545E-4</v>
      </c>
      <c r="AH152" s="37">
        <f t="shared" si="98"/>
        <v>0.29094110388253408</v>
      </c>
      <c r="AI152" s="40">
        <f t="shared" si="107"/>
        <v>0.29122099721200501</v>
      </c>
      <c r="AJ152" s="39">
        <f t="shared" si="108"/>
        <v>0.49828178694158087</v>
      </c>
      <c r="AK152" s="37">
        <f t="shared" si="99"/>
        <v>0.55157218916450401</v>
      </c>
      <c r="AL152" s="37">
        <f t="shared" si="100"/>
        <v>0.2175</v>
      </c>
      <c r="AM152" s="37">
        <f t="shared" si="101"/>
        <v>0.2423025</v>
      </c>
      <c r="AN152" s="40">
        <f t="shared" si="109"/>
        <v>0.4598025</v>
      </c>
      <c r="AO152" s="39">
        <f t="shared" si="102"/>
        <v>3.6507825583166798E-3</v>
      </c>
      <c r="AP152" s="37">
        <f t="shared" si="103"/>
        <v>0.11834775000000002</v>
      </c>
      <c r="AQ152" s="40">
        <f t="shared" si="104"/>
        <v>2.0250000000000001E-2</v>
      </c>
      <c r="AR152" s="39">
        <f t="shared" si="110"/>
        <v>0.9772400286116053</v>
      </c>
      <c r="AS152" s="37">
        <f t="shared" si="111"/>
        <v>26.1</v>
      </c>
      <c r="AT152" s="40">
        <f t="shared" si="112"/>
        <v>96.390917140820164</v>
      </c>
    </row>
    <row r="153" spans="17:46" x14ac:dyDescent="0.3">
      <c r="Q153">
        <v>146</v>
      </c>
      <c r="R153" s="39">
        <f t="shared" si="88"/>
        <v>54</v>
      </c>
      <c r="S153" s="37">
        <f t="shared" si="89"/>
        <v>0.48666666666666669</v>
      </c>
      <c r="T153" s="37">
        <f t="shared" si="90"/>
        <v>45</v>
      </c>
      <c r="U153" s="40">
        <f t="shared" si="91"/>
        <v>0.60206185567010317</v>
      </c>
      <c r="V153" s="39">
        <f t="shared" si="92"/>
        <v>2</v>
      </c>
      <c r="W153" s="37">
        <f t="shared" si="93"/>
        <v>0.16666666666666663</v>
      </c>
      <c r="X153" s="40">
        <f t="shared" si="94"/>
        <v>0.83333333333333337</v>
      </c>
      <c r="Y153" s="39">
        <f t="shared" si="95"/>
        <v>0.30096308186195819</v>
      </c>
      <c r="Z153" s="37">
        <f t="shared" si="114"/>
        <v>0.75254339660108227</v>
      </c>
      <c r="AA153" s="37">
        <f t="shared" si="115"/>
        <v>0.6082982076579837</v>
      </c>
      <c r="AB153" s="37">
        <v>0</v>
      </c>
      <c r="AC153" s="37">
        <f t="shared" si="96"/>
        <v>8.5106143171180551E-2</v>
      </c>
      <c r="AD153" s="40">
        <f t="shared" si="105"/>
        <v>8.5106143171180551E-2</v>
      </c>
      <c r="AE153" s="39">
        <f t="shared" si="113"/>
        <v>0.10034364261168384</v>
      </c>
      <c r="AF153" s="37">
        <f t="shared" si="106"/>
        <v>0.24833670336860375</v>
      </c>
      <c r="AG153" s="37">
        <f t="shared" si="97"/>
        <v>2.8368714390393507E-4</v>
      </c>
      <c r="AH153" s="37">
        <f t="shared" si="98"/>
        <v>0.2929475942541378</v>
      </c>
      <c r="AI153" s="40">
        <f t="shared" si="107"/>
        <v>0.29323128139804172</v>
      </c>
      <c r="AJ153" s="39">
        <f t="shared" si="108"/>
        <v>0.50171821305841935</v>
      </c>
      <c r="AK153" s="37">
        <f t="shared" si="99"/>
        <v>0.55529775004039905</v>
      </c>
      <c r="AL153" s="37">
        <f t="shared" si="100"/>
        <v>0.21900000000000003</v>
      </c>
      <c r="AM153" s="37">
        <f t="shared" si="101"/>
        <v>0.2423025</v>
      </c>
      <c r="AN153" s="40">
        <f t="shared" si="109"/>
        <v>0.46130250000000006</v>
      </c>
      <c r="AO153" s="39">
        <f t="shared" si="102"/>
        <v>3.7002670943991531E-3</v>
      </c>
      <c r="AP153" s="37">
        <f t="shared" si="103"/>
        <v>0.11834775000000002</v>
      </c>
      <c r="AQ153" s="40">
        <f t="shared" si="104"/>
        <v>2.0250000000000001E-2</v>
      </c>
      <c r="AR153" s="39">
        <f t="shared" si="110"/>
        <v>0.98193794166362147</v>
      </c>
      <c r="AS153" s="37">
        <f t="shared" si="111"/>
        <v>26.28</v>
      </c>
      <c r="AT153" s="40">
        <f t="shared" si="112"/>
        <v>96.398135951432295</v>
      </c>
    </row>
    <row r="154" spans="17:46" x14ac:dyDescent="0.3">
      <c r="Q154">
        <v>147</v>
      </c>
      <c r="R154" s="39">
        <f t="shared" si="88"/>
        <v>54</v>
      </c>
      <c r="S154" s="37">
        <f t="shared" si="89"/>
        <v>0.49000000000000005</v>
      </c>
      <c r="T154" s="37">
        <f t="shared" si="90"/>
        <v>45</v>
      </c>
      <c r="U154" s="40">
        <f t="shared" si="91"/>
        <v>0.60618556701030935</v>
      </c>
      <c r="V154" s="39">
        <f t="shared" si="92"/>
        <v>2</v>
      </c>
      <c r="W154" s="37">
        <f t="shared" si="93"/>
        <v>0.16666666666666663</v>
      </c>
      <c r="X154" s="40">
        <f t="shared" si="94"/>
        <v>0.83333333333333337</v>
      </c>
      <c r="Y154" s="39">
        <f t="shared" si="95"/>
        <v>0.30096308186195819</v>
      </c>
      <c r="Z154" s="37">
        <f t="shared" si="114"/>
        <v>0.75666710794128844</v>
      </c>
      <c r="AA154" s="37">
        <f t="shared" si="115"/>
        <v>0.61237992540464414</v>
      </c>
      <c r="AB154" s="37">
        <v>0</v>
      </c>
      <c r="AC154" s="37">
        <f t="shared" si="96"/>
        <v>8.6252109798877444E-2</v>
      </c>
      <c r="AD154" s="40">
        <f t="shared" si="105"/>
        <v>8.6252109798877444E-2</v>
      </c>
      <c r="AE154" s="39">
        <f t="shared" si="113"/>
        <v>0.10103092783505153</v>
      </c>
      <c r="AF154" s="37">
        <f t="shared" si="106"/>
        <v>0.25000305766083392</v>
      </c>
      <c r="AG154" s="37">
        <f t="shared" si="97"/>
        <v>2.8750703266292472E-4</v>
      </c>
      <c r="AH154" s="37">
        <f t="shared" si="98"/>
        <v>0.29495408462574141</v>
      </c>
      <c r="AI154" s="40">
        <f t="shared" si="107"/>
        <v>0.29524159165840436</v>
      </c>
      <c r="AJ154" s="39">
        <f t="shared" si="108"/>
        <v>0.50515463917525782</v>
      </c>
      <c r="AK154" s="37">
        <f t="shared" si="99"/>
        <v>0.5590238315124243</v>
      </c>
      <c r="AL154" s="37">
        <f t="shared" si="100"/>
        <v>0.22050000000000003</v>
      </c>
      <c r="AM154" s="37">
        <f t="shared" si="101"/>
        <v>0.2423025</v>
      </c>
      <c r="AN154" s="40">
        <f t="shared" si="109"/>
        <v>0.46280250000000001</v>
      </c>
      <c r="AO154" s="39">
        <f t="shared" si="102"/>
        <v>3.7500917303859745E-3</v>
      </c>
      <c r="AP154" s="37">
        <f t="shared" si="103"/>
        <v>0.11834775000000002</v>
      </c>
      <c r="AQ154" s="40">
        <f t="shared" si="104"/>
        <v>2.0250000000000001E-2</v>
      </c>
      <c r="AR154" s="39">
        <f t="shared" si="110"/>
        <v>0.98664404318766774</v>
      </c>
      <c r="AS154" s="37">
        <f t="shared" si="111"/>
        <v>26.46</v>
      </c>
      <c r="AT154" s="40">
        <f t="shared" si="112"/>
        <v>96.405228844607862</v>
      </c>
    </row>
    <row r="155" spans="17:46" x14ac:dyDescent="0.3">
      <c r="Q155">
        <v>148</v>
      </c>
      <c r="R155" s="39">
        <f t="shared" si="88"/>
        <v>54</v>
      </c>
      <c r="S155" s="37">
        <f t="shared" si="89"/>
        <v>0.49333333333333335</v>
      </c>
      <c r="T155" s="37">
        <f t="shared" si="90"/>
        <v>45</v>
      </c>
      <c r="U155" s="40">
        <f t="shared" si="91"/>
        <v>0.61030927835051552</v>
      </c>
      <c r="V155" s="39">
        <f t="shared" si="92"/>
        <v>2</v>
      </c>
      <c r="W155" s="37">
        <f t="shared" si="93"/>
        <v>0.16666666666666663</v>
      </c>
      <c r="X155" s="40">
        <f t="shared" si="94"/>
        <v>0.83333333333333337</v>
      </c>
      <c r="Y155" s="39">
        <f t="shared" si="95"/>
        <v>0.30096308186195819</v>
      </c>
      <c r="Z155" s="37">
        <f t="shared" si="114"/>
        <v>0.76079081928149461</v>
      </c>
      <c r="AA155" s="37">
        <f t="shared" si="115"/>
        <v>0.61646220210789426</v>
      </c>
      <c r="AB155" s="37">
        <v>0</v>
      </c>
      <c r="AC155" s="37">
        <f t="shared" si="96"/>
        <v>8.7405898724374279E-2</v>
      </c>
      <c r="AD155" s="40">
        <f t="shared" si="105"/>
        <v>8.7405898724374279E-2</v>
      </c>
      <c r="AE155" s="39">
        <f t="shared" si="113"/>
        <v>0.10171821305841923</v>
      </c>
      <c r="AF155" s="37">
        <f t="shared" si="106"/>
        <v>0.25166964014613624</v>
      </c>
      <c r="AG155" s="37">
        <f t="shared" si="97"/>
        <v>2.9135299574791423E-4</v>
      </c>
      <c r="AH155" s="37">
        <f t="shared" si="98"/>
        <v>0.29696057499734513</v>
      </c>
      <c r="AI155" s="40">
        <f t="shared" si="107"/>
        <v>0.29725192799309302</v>
      </c>
      <c r="AJ155" s="39">
        <f t="shared" si="108"/>
        <v>0.5085910652920963</v>
      </c>
      <c r="AK155" s="37">
        <f t="shared" si="99"/>
        <v>0.56275042323967084</v>
      </c>
      <c r="AL155" s="37">
        <f t="shared" si="100"/>
        <v>0.222</v>
      </c>
      <c r="AM155" s="37">
        <f t="shared" si="101"/>
        <v>0.2423025</v>
      </c>
      <c r="AN155" s="40">
        <f t="shared" si="109"/>
        <v>0.46430250000000001</v>
      </c>
      <c r="AO155" s="39">
        <f t="shared" si="102"/>
        <v>3.800256466277142E-3</v>
      </c>
      <c r="AP155" s="37">
        <f t="shared" si="103"/>
        <v>0.11834775000000002</v>
      </c>
      <c r="AQ155" s="40">
        <f t="shared" si="104"/>
        <v>2.0250000000000001E-2</v>
      </c>
      <c r="AR155" s="39">
        <f t="shared" si="110"/>
        <v>0.99135833318374444</v>
      </c>
      <c r="AS155" s="37">
        <f t="shared" si="111"/>
        <v>26.64</v>
      </c>
      <c r="AT155" s="40">
        <f t="shared" si="112"/>
        <v>96.412198339184883</v>
      </c>
    </row>
    <row r="156" spans="17:46" x14ac:dyDescent="0.3">
      <c r="Q156">
        <v>149</v>
      </c>
      <c r="R156" s="39">
        <f t="shared" si="88"/>
        <v>54</v>
      </c>
      <c r="S156" s="37">
        <f t="shared" si="89"/>
        <v>0.4966666666666667</v>
      </c>
      <c r="T156" s="37">
        <f t="shared" si="90"/>
        <v>45</v>
      </c>
      <c r="U156" s="40">
        <f t="shared" si="91"/>
        <v>0.61443298969072169</v>
      </c>
      <c r="V156" s="39">
        <f t="shared" si="92"/>
        <v>2</v>
      </c>
      <c r="W156" s="37">
        <f t="shared" si="93"/>
        <v>0.16666666666666663</v>
      </c>
      <c r="X156" s="40">
        <f t="shared" si="94"/>
        <v>0.83333333333333337</v>
      </c>
      <c r="Y156" s="39">
        <f t="shared" si="95"/>
        <v>0.30096308186195819</v>
      </c>
      <c r="Z156" s="37">
        <f t="shared" si="114"/>
        <v>0.76491453062170078</v>
      </c>
      <c r="AA156" s="37">
        <f t="shared" si="115"/>
        <v>0.620545026736389</v>
      </c>
      <c r="AB156" s="37">
        <v>0</v>
      </c>
      <c r="AC156" s="37">
        <f t="shared" si="96"/>
        <v>8.8567509947671125E-2</v>
      </c>
      <c r="AD156" s="40">
        <f t="shared" si="105"/>
        <v>8.8567509947671125E-2</v>
      </c>
      <c r="AE156" s="39">
        <f t="shared" si="113"/>
        <v>0.10240549828178692</v>
      </c>
      <c r="AF156" s="37">
        <f t="shared" si="106"/>
        <v>0.25333644632098296</v>
      </c>
      <c r="AG156" s="37">
        <f t="shared" si="97"/>
        <v>2.9522503315890366E-4</v>
      </c>
      <c r="AH156" s="37">
        <f t="shared" si="98"/>
        <v>0.29896706536894879</v>
      </c>
      <c r="AI156" s="40">
        <f t="shared" si="107"/>
        <v>0.29926229040210772</v>
      </c>
      <c r="AJ156" s="39">
        <f t="shared" si="108"/>
        <v>0.51202749140893478</v>
      </c>
      <c r="AK156" s="37">
        <f t="shared" si="99"/>
        <v>0.56647751515194456</v>
      </c>
      <c r="AL156" s="37">
        <f t="shared" si="100"/>
        <v>0.22350000000000003</v>
      </c>
      <c r="AM156" s="37">
        <f t="shared" si="101"/>
        <v>0.2423025</v>
      </c>
      <c r="AN156" s="40">
        <f t="shared" si="109"/>
        <v>0.46580250000000001</v>
      </c>
      <c r="AO156" s="39">
        <f t="shared" si="102"/>
        <v>3.8507613020726567E-3</v>
      </c>
      <c r="AP156" s="37">
        <f t="shared" si="103"/>
        <v>0.11834775000000002</v>
      </c>
      <c r="AQ156" s="40">
        <f t="shared" si="104"/>
        <v>2.0250000000000001E-2</v>
      </c>
      <c r="AR156" s="39">
        <f t="shared" si="110"/>
        <v>0.99608081165185147</v>
      </c>
      <c r="AS156" s="37">
        <f t="shared" si="111"/>
        <v>26.82</v>
      </c>
      <c r="AT156" s="40">
        <f t="shared" si="112"/>
        <v>96.419046887314892</v>
      </c>
    </row>
    <row r="157" spans="17:46" ht="15.6" thickBot="1" x14ac:dyDescent="0.35">
      <c r="Q157">
        <v>150</v>
      </c>
      <c r="R157" s="41">
        <f t="shared" si="88"/>
        <v>54</v>
      </c>
      <c r="S157" s="42">
        <f t="shared" si="89"/>
        <v>0.5</v>
      </c>
      <c r="T157" s="42">
        <f t="shared" si="90"/>
        <v>45</v>
      </c>
      <c r="U157" s="43">
        <f t="shared" si="91"/>
        <v>0.61855670103092786</v>
      </c>
      <c r="V157" s="41">
        <f t="shared" si="92"/>
        <v>2</v>
      </c>
      <c r="W157" s="42">
        <f t="shared" si="93"/>
        <v>0.16666666666666663</v>
      </c>
      <c r="X157" s="43">
        <f t="shared" si="94"/>
        <v>0.83333333333333337</v>
      </c>
      <c r="Y157" s="41">
        <f t="shared" si="95"/>
        <v>0.30096308186195819</v>
      </c>
      <c r="Z157" s="42">
        <f t="shared" si="114"/>
        <v>0.76903824196190695</v>
      </c>
      <c r="AA157" s="42">
        <f t="shared" si="115"/>
        <v>0.62462838854574321</v>
      </c>
      <c r="AB157" s="42">
        <v>0</v>
      </c>
      <c r="AC157" s="42">
        <f t="shared" si="96"/>
        <v>8.9736943468767955E-2</v>
      </c>
      <c r="AD157" s="43">
        <f t="shared" si="105"/>
        <v>8.9736943468767955E-2</v>
      </c>
      <c r="AE157" s="41">
        <f t="shared" si="113"/>
        <v>0.10309278350515462</v>
      </c>
      <c r="AF157" s="37">
        <f t="shared" si="106"/>
        <v>0.25500347179899724</v>
      </c>
      <c r="AG157" s="42">
        <f t="shared" si="97"/>
        <v>2.9912314489589312E-4</v>
      </c>
      <c r="AH157" s="42">
        <f t="shared" si="98"/>
        <v>0.30097355574055246</v>
      </c>
      <c r="AI157" s="43">
        <f t="shared" si="107"/>
        <v>0.30127267888544834</v>
      </c>
      <c r="AJ157" s="41">
        <f>X157*U157</f>
        <v>0.51546391752577325</v>
      </c>
      <c r="AK157" s="42">
        <f t="shared" si="99"/>
        <v>0.57020509744100845</v>
      </c>
      <c r="AL157" s="42">
        <f t="shared" si="100"/>
        <v>0.22500000000000001</v>
      </c>
      <c r="AM157" s="42">
        <f t="shared" si="101"/>
        <v>0.2423025</v>
      </c>
      <c r="AN157" s="43">
        <f t="shared" si="109"/>
        <v>0.46730250000000001</v>
      </c>
      <c r="AO157" s="41">
        <f t="shared" si="102"/>
        <v>3.9016062377725189E-3</v>
      </c>
      <c r="AP157" s="42">
        <f t="shared" si="103"/>
        <v>0.11834775000000002</v>
      </c>
      <c r="AQ157" s="43">
        <f t="shared" si="104"/>
        <v>2.0250000000000001E-2</v>
      </c>
      <c r="AR157" s="41">
        <f t="shared" si="110"/>
        <v>1.0008114785919888</v>
      </c>
      <c r="AS157" s="42">
        <f t="shared" si="111"/>
        <v>27</v>
      </c>
      <c r="AT157" s="43">
        <f>(AS157/(AS157+AR157))*100</f>
        <v>96.425776876655306</v>
      </c>
    </row>
  </sheetData>
  <mergeCells count="7">
    <mergeCell ref="AO5:AQ5"/>
    <mergeCell ref="A1:M1"/>
    <mergeCell ref="R5:U5"/>
    <mergeCell ref="V5:X5"/>
    <mergeCell ref="Y5:AD5"/>
    <mergeCell ref="AE5:AI5"/>
    <mergeCell ref="AJ5:AN5"/>
  </mergeCells>
  <phoneticPr fontId="44" type="noConversion"/>
  <pageMargins left="0.7" right="0.7" top="0.75" bottom="0.75" header="0.3" footer="0.3"/>
  <pageSetup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Y708"/>
  <sheetViews>
    <sheetView topLeftCell="R1" zoomScale="80" zoomScaleNormal="80" workbookViewId="0">
      <selection activeCell="AY19" sqref="AY19:AY559"/>
    </sheetView>
  </sheetViews>
  <sheetFormatPr defaultColWidth="9.125" defaultRowHeight="15" x14ac:dyDescent="0.3"/>
  <cols>
    <col min="1" max="1" width="13.125" style="98" customWidth="1"/>
    <col min="2" max="2" width="25" style="98" customWidth="1"/>
    <col min="3" max="7" width="9.125" style="98"/>
    <col min="8" max="10" width="8.875" style="98"/>
    <col min="11" max="11" width="12" style="98" bestFit="1" customWidth="1"/>
    <col min="12" max="14" width="9.125" style="98"/>
    <col min="15" max="15" width="16.75" style="199" bestFit="1" customWidth="1"/>
    <col min="16" max="16" width="16.75" style="98" customWidth="1"/>
    <col min="17" max="25" width="9.125" style="98"/>
    <col min="26" max="26" width="8.375" style="98" customWidth="1"/>
    <col min="27" max="28" width="9.125" style="98"/>
    <col min="29" max="29" width="8.875" style="98"/>
    <col min="30" max="32" width="9.125" style="98"/>
    <col min="33" max="33" width="10.125" style="98" customWidth="1"/>
    <col min="34" max="34" width="12" style="98" bestFit="1" customWidth="1"/>
    <col min="35" max="41" width="9.125" style="98"/>
    <col min="42" max="42" width="8.875" style="98"/>
    <col min="43" max="44" width="9.125" style="98"/>
    <col min="45" max="45" width="8.875" style="98" customWidth="1"/>
    <col min="46" max="47" width="9.125" style="98"/>
    <col min="48" max="48" width="11.875" style="98" bestFit="1" customWidth="1"/>
    <col min="49" max="16384" width="9.125" style="98"/>
  </cols>
  <sheetData>
    <row r="1" spans="1:51" ht="28.2" x14ac:dyDescent="0.5">
      <c r="A1" s="244" t="s">
        <v>15</v>
      </c>
      <c r="B1" s="244"/>
      <c r="C1" s="244"/>
      <c r="D1" s="244"/>
      <c r="E1" s="244"/>
      <c r="F1" s="244"/>
      <c r="G1" s="244"/>
      <c r="H1" s="244"/>
      <c r="I1" s="244"/>
      <c r="J1" s="244"/>
      <c r="K1" s="244"/>
      <c r="L1" s="244"/>
      <c r="M1" s="244"/>
      <c r="N1" s="244" t="s">
        <v>229</v>
      </c>
      <c r="O1" s="244"/>
      <c r="P1" s="244"/>
      <c r="Q1" s="244"/>
      <c r="R1" s="244"/>
      <c r="S1" s="244"/>
      <c r="T1" s="244"/>
      <c r="U1" s="244"/>
      <c r="V1" s="244"/>
      <c r="W1" s="244"/>
      <c r="X1" s="244"/>
    </row>
    <row r="2" spans="1:51" x14ac:dyDescent="0.3">
      <c r="A2" s="158"/>
      <c r="B2" s="158" t="s">
        <v>16</v>
      </c>
      <c r="C2" s="159"/>
      <c r="D2" s="160"/>
      <c r="E2" s="158"/>
      <c r="F2" s="158"/>
      <c r="G2" s="158"/>
      <c r="H2" s="158"/>
      <c r="I2" s="158"/>
      <c r="J2" s="158"/>
      <c r="K2" s="158"/>
      <c r="L2" s="158"/>
      <c r="M2" s="158"/>
      <c r="O2" s="98"/>
    </row>
    <row r="3" spans="1:51" ht="15.6" thickBot="1" x14ac:dyDescent="0.35">
      <c r="A3" s="158"/>
      <c r="B3" s="158" t="s">
        <v>17</v>
      </c>
      <c r="C3" s="161"/>
      <c r="D3" s="160"/>
      <c r="E3" s="158"/>
      <c r="F3" s="162"/>
      <c r="G3" s="163"/>
      <c r="H3" s="163"/>
      <c r="I3" s="163"/>
      <c r="J3" s="163"/>
      <c r="K3" s="164"/>
      <c r="L3" s="158"/>
      <c r="M3" s="158"/>
      <c r="O3" s="98"/>
    </row>
    <row r="4" spans="1:51" ht="15.6" thickBot="1" x14ac:dyDescent="0.35">
      <c r="A4" s="158"/>
      <c r="B4" s="158" t="s">
        <v>18</v>
      </c>
      <c r="C4" s="165"/>
      <c r="D4" s="160"/>
      <c r="E4" s="158"/>
      <c r="F4" s="162"/>
      <c r="G4" s="163"/>
      <c r="H4" s="163"/>
      <c r="I4" s="163"/>
      <c r="J4" s="163"/>
      <c r="K4" s="164"/>
      <c r="L4" s="158"/>
      <c r="M4" s="158"/>
      <c r="N4" s="166"/>
      <c r="O4" s="167"/>
      <c r="P4" s="241" t="s">
        <v>260</v>
      </c>
      <c r="Q4" s="241"/>
      <c r="R4" s="241"/>
      <c r="S4" s="241"/>
      <c r="T4" s="241"/>
      <c r="U4" s="241"/>
      <c r="V4" s="241"/>
      <c r="W4" s="241"/>
      <c r="X4" s="241"/>
      <c r="Y4" s="241"/>
      <c r="Z4" s="241"/>
      <c r="AA4" s="241"/>
      <c r="AB4" s="241"/>
      <c r="AC4" s="241"/>
      <c r="AD4" s="241"/>
      <c r="AE4" s="242"/>
      <c r="AF4" s="240" t="s">
        <v>261</v>
      </c>
      <c r="AG4" s="241"/>
      <c r="AH4" s="241"/>
      <c r="AI4" s="241"/>
      <c r="AJ4" s="241"/>
      <c r="AK4" s="241"/>
      <c r="AL4" s="241"/>
      <c r="AM4" s="241"/>
      <c r="AN4" s="241"/>
      <c r="AO4" s="241"/>
      <c r="AP4" s="241"/>
      <c r="AQ4" s="241"/>
      <c r="AR4" s="242"/>
      <c r="AS4" s="240" t="s">
        <v>272</v>
      </c>
      <c r="AT4" s="241"/>
      <c r="AU4" s="242"/>
    </row>
    <row r="5" spans="1:51" x14ac:dyDescent="0.3">
      <c r="A5" s="158"/>
      <c r="D5" s="160"/>
      <c r="E5" s="158"/>
      <c r="F5" s="158"/>
      <c r="G5" s="158"/>
      <c r="H5" s="158"/>
      <c r="I5" s="158"/>
      <c r="J5" s="158"/>
      <c r="K5" s="158"/>
      <c r="L5" s="158"/>
      <c r="M5" s="158"/>
      <c r="N5" s="168"/>
      <c r="O5" s="169"/>
      <c r="Q5" s="243" t="s">
        <v>252</v>
      </c>
      <c r="R5" s="243"/>
      <c r="S5" s="243"/>
      <c r="T5" s="238" t="s">
        <v>254</v>
      </c>
      <c r="U5" s="238"/>
      <c r="V5" s="238"/>
      <c r="W5" s="238" t="s">
        <v>253</v>
      </c>
      <c r="X5" s="238"/>
      <c r="Y5" s="238"/>
      <c r="Z5" s="238" t="s">
        <v>257</v>
      </c>
      <c r="AA5" s="238"/>
      <c r="AB5" s="238"/>
      <c r="AC5" s="237" t="s">
        <v>259</v>
      </c>
      <c r="AD5" s="238"/>
      <c r="AE5" s="239"/>
      <c r="AG5" s="238" t="s">
        <v>268</v>
      </c>
      <c r="AH5" s="238"/>
      <c r="AI5" s="238"/>
      <c r="AJ5" s="238" t="s">
        <v>269</v>
      </c>
      <c r="AK5" s="238"/>
      <c r="AL5" s="238"/>
      <c r="AM5" s="238" t="s">
        <v>263</v>
      </c>
      <c r="AN5" s="238"/>
      <c r="AO5" s="238"/>
      <c r="AP5" s="237" t="s">
        <v>259</v>
      </c>
      <c r="AQ5" s="238"/>
      <c r="AR5" s="239"/>
      <c r="AS5" s="237" t="s">
        <v>259</v>
      </c>
      <c r="AT5" s="238"/>
      <c r="AU5" s="239"/>
      <c r="AV5" s="223"/>
    </row>
    <row r="6" spans="1:51" ht="15.6" thickBot="1" x14ac:dyDescent="0.35">
      <c r="A6" s="170" t="s">
        <v>19</v>
      </c>
      <c r="B6" s="170" t="s">
        <v>20</v>
      </c>
      <c r="C6" s="170" t="s">
        <v>21</v>
      </c>
      <c r="D6" s="160"/>
      <c r="E6" s="245" t="s">
        <v>22</v>
      </c>
      <c r="F6" s="245"/>
      <c r="G6" s="245"/>
      <c r="H6" s="245"/>
      <c r="I6" s="245"/>
      <c r="J6" s="245"/>
      <c r="K6" s="245"/>
      <c r="L6" s="158"/>
      <c r="M6" s="170"/>
      <c r="N6" s="168"/>
      <c r="O6" s="169"/>
      <c r="P6" s="160" t="s">
        <v>235</v>
      </c>
      <c r="Q6" s="98" t="s">
        <v>258</v>
      </c>
      <c r="R6" s="160" t="s">
        <v>255</v>
      </c>
      <c r="S6" s="160" t="s">
        <v>256</v>
      </c>
      <c r="T6" s="160" t="s">
        <v>258</v>
      </c>
      <c r="U6" s="160" t="s">
        <v>255</v>
      </c>
      <c r="V6" s="160" t="s">
        <v>256</v>
      </c>
      <c r="W6" s="160" t="s">
        <v>258</v>
      </c>
      <c r="X6" s="160" t="s">
        <v>255</v>
      </c>
      <c r="Y6" s="160" t="s">
        <v>256</v>
      </c>
      <c r="Z6" s="160" t="s">
        <v>258</v>
      </c>
      <c r="AA6" s="160" t="s">
        <v>255</v>
      </c>
      <c r="AB6" s="160" t="s">
        <v>256</v>
      </c>
      <c r="AC6" s="171" t="s">
        <v>273</v>
      </c>
      <c r="AD6" s="160" t="s">
        <v>255</v>
      </c>
      <c r="AE6" s="172" t="s">
        <v>256</v>
      </c>
      <c r="AF6" s="160" t="s">
        <v>270</v>
      </c>
      <c r="AG6" s="160" t="s">
        <v>258</v>
      </c>
      <c r="AH6" s="160" t="s">
        <v>271</v>
      </c>
      <c r="AI6" s="160" t="s">
        <v>256</v>
      </c>
      <c r="AJ6" s="160" t="s">
        <v>258</v>
      </c>
      <c r="AK6" s="160" t="s">
        <v>271</v>
      </c>
      <c r="AL6" s="160" t="s">
        <v>256</v>
      </c>
      <c r="AM6" s="160" t="s">
        <v>258</v>
      </c>
      <c r="AN6" s="160" t="s">
        <v>271</v>
      </c>
      <c r="AO6" s="160" t="s">
        <v>256</v>
      </c>
      <c r="AP6" s="171" t="s">
        <v>273</v>
      </c>
      <c r="AQ6" s="160" t="s">
        <v>255</v>
      </c>
      <c r="AR6" s="172" t="s">
        <v>256</v>
      </c>
      <c r="AS6" s="171" t="s">
        <v>273</v>
      </c>
      <c r="AT6" s="160" t="s">
        <v>255</v>
      </c>
      <c r="AU6" s="172" t="s">
        <v>256</v>
      </c>
      <c r="AV6" s="224"/>
    </row>
    <row r="7" spans="1:51" ht="15.6" thickBot="1" x14ac:dyDescent="0.35">
      <c r="A7" s="170"/>
      <c r="B7" s="170"/>
      <c r="C7" s="170"/>
      <c r="D7" s="160"/>
      <c r="E7" s="158"/>
      <c r="F7" s="158"/>
      <c r="G7" s="158"/>
      <c r="H7" s="158"/>
      <c r="I7" s="158"/>
      <c r="J7" s="158"/>
      <c r="K7" s="158"/>
      <c r="L7" s="158"/>
      <c r="M7" s="170"/>
      <c r="N7" s="98" t="s">
        <v>469</v>
      </c>
      <c r="O7" s="167">
        <f>fcross</f>
        <v>20000</v>
      </c>
      <c r="P7" s="173" t="str">
        <f>COMPLEX(ADC_VINmin,0)</f>
        <v>89.4166666666667</v>
      </c>
      <c r="Q7" s="174" t="str">
        <f>IMSUM(COMPLEX(1,0),IMDIV(COMPLEX(0,2*PI()*O7),COMPLEX(wp_lf_VINmin,0)))</f>
        <v>1+318.934486192436i</v>
      </c>
      <c r="R7" s="174">
        <f t="shared" ref="R7:R13" si="0">IMABS(Q7)</f>
        <v>318.93605390866855</v>
      </c>
      <c r="S7" s="174">
        <f t="shared" ref="S7:S13" si="1">IMARGUMENT(Q7)</f>
        <v>1.5676608968984227</v>
      </c>
      <c r="T7" s="174" t="str">
        <f>IMSUM(COMPLEX(1,0),IMDIV(COMPLEX(0,2*PI()*O7),COMPLEX(wz_esr_VINmin,0)))</f>
        <v>1+0.0118123883774977i</v>
      </c>
      <c r="U7" s="174">
        <f t="shared" ref="U7:U13" si="2">IMABS(T7)</f>
        <v>1.0000697638260947</v>
      </c>
      <c r="V7" s="174">
        <f t="shared" ref="V7:V13" si="3">IMARGUMENT(T7)</f>
        <v>1.1811839019386341E-2</v>
      </c>
      <c r="W7" s="175" t="str">
        <f>IMSUB(COMPLEX(1,0),IMDIV(COMPLEX(0,2*PI()*O7),COMPLEX(wz_RHP_VINmin,0)))</f>
        <v>1-0.138790009999351i</v>
      </c>
      <c r="X7" s="174">
        <f t="shared" ref="X7:X13" si="4">IMABS(W7)</f>
        <v>1.0095853935530268</v>
      </c>
      <c r="Y7" s="174">
        <f t="shared" ref="Y7:Y13" si="5">IMARGUMENT(W7)</f>
        <v>-0.13790901474985626</v>
      </c>
      <c r="Z7" s="175" t="str">
        <f t="shared" ref="Z7:Z13" si="6">IF(Dc_Mode_Loop="CCM",IMSUM(COMPLEX(1,0),IMDIV(COMPLEX(0,2*PI()*O7),COMPLEX(Q*(wsl/2),0)),IMDIV(IMPOWER(COMPLEX(0,2*PI()*O7),2),IMPOWER(COMPLEX(wsl/2,0),2))),COMPLEX(1,0))</f>
        <v>0.991920212094433+0.180987008963407i</v>
      </c>
      <c r="AA7" s="174">
        <f t="shared" ref="AA7:AA13" si="7">IMABS(Z7)</f>
        <v>1.0082965856210093</v>
      </c>
      <c r="AB7" s="174">
        <f t="shared" ref="AB7:AB13" si="8">IMARGUMENT(Z7)</f>
        <v>0.18047592625669356</v>
      </c>
      <c r="AC7" s="176" t="str">
        <f t="shared" ref="AC7:AC13" si="9">(IMDIV(IMPRODUCT(P7,T7,W7),IMPRODUCT(Q7,Z7)))</f>
        <v>-0.0838849929979549-0.267911677378269i</v>
      </c>
      <c r="AD7" s="177">
        <f t="shared" ref="AD7:AD13" si="10">20*LOG(IMABS(AC7))</f>
        <v>-11.034001630170469</v>
      </c>
      <c r="AE7" s="167">
        <f t="shared" ref="AE7:AE13" si="11">(180/PI())*IMARGUMENT(AC7)</f>
        <v>-107.38569795607111</v>
      </c>
      <c r="AF7" s="175" t="str">
        <f t="shared" ref="AF7:AF13" si="12">COMPLEX(Adc_ea,0)</f>
        <v>-0.0000366300366300366</v>
      </c>
      <c r="AG7" s="175" t="str">
        <f t="shared" ref="AG7:AG13" si="13">COMPLEX(0,2*PI()*O7*wp0_ea)</f>
        <v>0.00867079572390783i</v>
      </c>
      <c r="AH7" s="175">
        <f t="shared" ref="AH7:AH13" si="14">IMABS(AG7)</f>
        <v>8.6707957239078298E-3</v>
      </c>
      <c r="AI7" s="175">
        <f t="shared" ref="AI7:AI13" si="15">IMARGUMENT(AG7)</f>
        <v>1.5707963267948966</v>
      </c>
      <c r="AJ7" s="175" t="str">
        <f t="shared" ref="AJ7:AJ13" si="16">IMSUM(COMPLEX(1,0),IMDIV(COMPLEX(0,2*PI()*O7),COMPLEX(wp1_ea,0)))</f>
        <v>1+1.23842493011076i</v>
      </c>
      <c r="AK7" s="175">
        <f t="shared" ref="AK7:AK13" si="17">IMABS(AJ7)</f>
        <v>1.5917588722918559</v>
      </c>
      <c r="AL7" s="175">
        <f t="shared" ref="AL7:AL13" si="18">IMARGUMENT(AJ7)</f>
        <v>0.89151266529983153</v>
      </c>
      <c r="AM7" s="175" t="str">
        <f t="shared" ref="AM7:AM13" si="19">IMSUM(COMPLEX(1,0),IMDIV(COMPLEX(0,2*PI()*O7),COMPLEX(wz_ea,0)))</f>
        <v>1+85.4513201776424i</v>
      </c>
      <c r="AN7" s="175">
        <f t="shared" ref="AN7:AN13" si="20">IMABS(AM7)</f>
        <v>85.457171261995057</v>
      </c>
      <c r="AO7" s="175">
        <f t="shared" ref="AO7:AO13" si="21">IMARGUMENT(AM7)</f>
        <v>1.5590942916288064</v>
      </c>
      <c r="AP7" s="166" t="str">
        <f t="shared" ref="AP7:AP13" si="22">IMPRODUCT(AF7,IMDIV(AM7,IMPRODUCT(AG7,AJ7)))</f>
        <v>-0.140411422244186+0.178113535776107i</v>
      </c>
      <c r="AQ7" s="175">
        <f t="shared" ref="AQ7:AQ13" si="23">20*LOG(IMABS(AP7))</f>
        <v>-12.887007360366333</v>
      </c>
      <c r="AR7" s="167">
        <f t="shared" ref="AR7:AR13" si="24">(180/PI())*IMARGUMENT(AP7)</f>
        <v>128.24960966913002</v>
      </c>
      <c r="AS7" s="166" t="str">
        <f t="shared" ref="AS7:AS13" si="25">IMPRODUCT(AC7,AP7)</f>
        <v>0.0594971073053376+0.0226768069550885i</v>
      </c>
      <c r="AT7" s="177">
        <f t="shared" ref="AT7:AT13" si="26">20*LOG(IMABS(AS7))</f>
        <v>-23.921008990536802</v>
      </c>
      <c r="AU7" s="167">
        <f t="shared" ref="AU7:AU13" si="27">(180/PI())*IMARGUMENT(AS7)</f>
        <v>20.863911713058879</v>
      </c>
      <c r="AV7" s="225"/>
    </row>
    <row r="8" spans="1:51" ht="15.6" thickBot="1" x14ac:dyDescent="0.35">
      <c r="A8" s="170"/>
      <c r="B8" s="170"/>
      <c r="C8" s="170"/>
      <c r="D8" s="160"/>
      <c r="E8" s="158"/>
      <c r="F8" s="158"/>
      <c r="G8" s="158"/>
      <c r="H8" s="158"/>
      <c r="I8" s="158"/>
      <c r="J8" s="158"/>
      <c r="K8" s="158"/>
      <c r="L8" s="158"/>
      <c r="M8" s="170"/>
      <c r="N8" s="166" t="s">
        <v>302</v>
      </c>
      <c r="O8" s="167">
        <f>fcross</f>
        <v>20000</v>
      </c>
      <c r="P8" s="173" t="str">
        <f t="shared" ref="P8:P13" si="28">COMPLEX(Adc,0)</f>
        <v>108.75</v>
      </c>
      <c r="Q8" s="174" t="str">
        <f t="shared" ref="Q8:Q13" si="29">IMSUM(COMPLEX(1,0),IMDIV(COMPLEX(0,2*PI()*O8),COMPLEX(wp_lf,0)))</f>
        <v>1+318.934486192436i</v>
      </c>
      <c r="R8" s="174">
        <f t="shared" si="0"/>
        <v>318.93605390866855</v>
      </c>
      <c r="S8" s="174">
        <f t="shared" si="1"/>
        <v>1.5676608968984227</v>
      </c>
      <c r="T8" s="174" t="str">
        <f t="shared" ref="T8:T13" si="30">IMSUM(COMPLEX(1,0),IMDIV(COMPLEX(0,2*PI()*O8),COMPLEX(wz_esr,0)))</f>
        <v>1+0.0118123883774977i</v>
      </c>
      <c r="U8" s="174">
        <f t="shared" si="2"/>
        <v>1.0000697638260947</v>
      </c>
      <c r="V8" s="174">
        <f t="shared" si="3"/>
        <v>1.1811839019386341E-2</v>
      </c>
      <c r="W8" s="175" t="str">
        <f t="shared" ref="W8:W13" si="31">IMSUB(COMPLEX(1,0),IMDIV(COMPLEX(0,2*PI()*O8),COMPLEX(wz_rhp,0)))</f>
        <v>1-0.0938289005872157i</v>
      </c>
      <c r="X8" s="174">
        <f t="shared" si="4"/>
        <v>1.0043922852080285</v>
      </c>
      <c r="Y8" s="174">
        <f t="shared" si="5"/>
        <v>-9.35549937517417E-2</v>
      </c>
      <c r="Z8" s="175" t="str">
        <f t="shared" si="6"/>
        <v>0.991920212094433+0.180987008963407i</v>
      </c>
      <c r="AA8" s="174">
        <f t="shared" si="7"/>
        <v>1.0082965856210093</v>
      </c>
      <c r="AB8" s="174">
        <f t="shared" si="8"/>
        <v>0.18047592625669356</v>
      </c>
      <c r="AC8" s="176" t="str">
        <f t="shared" si="9"/>
        <v>-0.0870244900657754-0.328344017195814i</v>
      </c>
      <c r="AD8" s="177">
        <f t="shared" si="10"/>
        <v>-9.3785796451985064</v>
      </c>
      <c r="AE8" s="167">
        <f t="shared" si="11"/>
        <v>-104.84439974844452</v>
      </c>
      <c r="AF8" s="175" t="str">
        <f t="shared" si="12"/>
        <v>-0.0000366300366300366</v>
      </c>
      <c r="AG8" s="175" t="str">
        <f t="shared" si="13"/>
        <v>0.00867079572390783i</v>
      </c>
      <c r="AH8" s="175">
        <f t="shared" si="14"/>
        <v>8.6707957239078298E-3</v>
      </c>
      <c r="AI8" s="175">
        <f t="shared" si="15"/>
        <v>1.5707963267948966</v>
      </c>
      <c r="AJ8" s="175" t="str">
        <f t="shared" si="16"/>
        <v>1+1.23842493011076i</v>
      </c>
      <c r="AK8" s="175">
        <f t="shared" si="17"/>
        <v>1.5917588722918559</v>
      </c>
      <c r="AL8" s="175">
        <f t="shared" si="18"/>
        <v>0.89151266529983153</v>
      </c>
      <c r="AM8" s="175" t="str">
        <f t="shared" si="19"/>
        <v>1+85.4513201776424i</v>
      </c>
      <c r="AN8" s="175">
        <f t="shared" si="20"/>
        <v>85.457171261995057</v>
      </c>
      <c r="AO8" s="175">
        <f t="shared" si="21"/>
        <v>1.5590942916288064</v>
      </c>
      <c r="AP8" s="166" t="str">
        <f t="shared" si="22"/>
        <v>-0.140411422244186+0.178113535776107i</v>
      </c>
      <c r="AQ8" s="175">
        <f t="shared" si="23"/>
        <v>-12.887007360366333</v>
      </c>
      <c r="AR8" s="167">
        <f t="shared" si="24"/>
        <v>128.24960966913002</v>
      </c>
      <c r="AS8" s="166" t="str">
        <f t="shared" si="25"/>
        <v>0.0707017462738879+0.0306030108151058i</v>
      </c>
      <c r="AT8" s="177">
        <f t="shared" si="26"/>
        <v>-22.265587005564832</v>
      </c>
      <c r="AU8" s="167">
        <f t="shared" si="27"/>
        <v>23.405209920685525</v>
      </c>
      <c r="AV8" s="225"/>
    </row>
    <row r="9" spans="1:51" x14ac:dyDescent="0.3">
      <c r="A9" s="178" t="s">
        <v>205</v>
      </c>
      <c r="B9" s="170"/>
      <c r="C9" s="170"/>
      <c r="D9" s="160"/>
      <c r="E9" s="158"/>
      <c r="F9" s="158"/>
      <c r="G9" s="158"/>
      <c r="H9" s="158"/>
      <c r="I9" s="158"/>
      <c r="J9" s="158"/>
      <c r="K9" s="158"/>
      <c r="L9" s="158"/>
      <c r="M9" s="170"/>
      <c r="N9" s="179" t="s">
        <v>303</v>
      </c>
      <c r="O9" s="180">
        <f>wz_rhp/(2*PI())</f>
        <v>213153.9416409313</v>
      </c>
      <c r="P9" s="181" t="str">
        <f t="shared" si="28"/>
        <v>108.75</v>
      </c>
      <c r="Q9" s="182" t="str">
        <f t="shared" si="29"/>
        <v>1+3399.10714285713i</v>
      </c>
      <c r="R9" s="182">
        <f t="shared" si="0"/>
        <v>3399.1072899545784</v>
      </c>
      <c r="S9" s="182">
        <f t="shared" si="1"/>
        <v>1.5705021318992602</v>
      </c>
      <c r="T9" s="182" t="str">
        <f t="shared" si="30"/>
        <v>1+0.125892857142857i</v>
      </c>
      <c r="U9" s="182">
        <f t="shared" si="2"/>
        <v>1.0078933532272112</v>
      </c>
      <c r="V9" s="182">
        <f t="shared" si="3"/>
        <v>0.12523401860340463</v>
      </c>
      <c r="W9" s="183" t="str">
        <f t="shared" si="31"/>
        <v>1-i</v>
      </c>
      <c r="X9" s="182">
        <f t="shared" si="4"/>
        <v>1.4142135623730951</v>
      </c>
      <c r="Y9" s="182">
        <f t="shared" si="5"/>
        <v>-0.78539816339744828</v>
      </c>
      <c r="Z9" s="183" t="str">
        <f t="shared" si="6"/>
        <v>0.082245113757053+1.92890471731763i</v>
      </c>
      <c r="AA9" s="182">
        <f t="shared" si="7"/>
        <v>1.9306573148094188</v>
      </c>
      <c r="AB9" s="182">
        <f t="shared" si="8"/>
        <v>1.5281838917543613</v>
      </c>
      <c r="AC9" s="184" t="str">
        <f t="shared" si="9"/>
        <v>-0.0192617688105407+0.0136715575883237i</v>
      </c>
      <c r="AD9" s="185">
        <f t="shared" si="10"/>
        <v>-32.534224462509329</v>
      </c>
      <c r="AE9" s="186">
        <f t="shared" si="11"/>
        <v>144.63374952591022</v>
      </c>
      <c r="AF9" s="183" t="str">
        <f t="shared" si="12"/>
        <v>-0.0000366300366300366</v>
      </c>
      <c r="AG9" s="183" t="str">
        <f t="shared" si="13"/>
        <v>0.0924107142857143i</v>
      </c>
      <c r="AH9" s="183">
        <f t="shared" si="14"/>
        <v>9.2410714285714304E-2</v>
      </c>
      <c r="AI9" s="183">
        <f t="shared" si="15"/>
        <v>1.5707963267948966</v>
      </c>
      <c r="AJ9" s="183" t="str">
        <f t="shared" si="16"/>
        <v>1+13.1987577639751i</v>
      </c>
      <c r="AK9" s="183">
        <f t="shared" si="17"/>
        <v>13.236585908461933</v>
      </c>
      <c r="AL9" s="183">
        <f t="shared" si="18"/>
        <v>1.4951760941248669</v>
      </c>
      <c r="AM9" s="183" t="str">
        <f t="shared" si="19"/>
        <v>1+910.714285714281i</v>
      </c>
      <c r="AN9" s="183">
        <f t="shared" si="20"/>
        <v>910.71483473372325</v>
      </c>
      <c r="AO9" s="183">
        <f t="shared" si="21"/>
        <v>1.5696982880205084</v>
      </c>
      <c r="AP9" s="179" t="str">
        <f t="shared" si="22"/>
        <v>-0.00203050952729586+0.0271965863933003i</v>
      </c>
      <c r="AQ9" s="183">
        <f t="shared" si="23"/>
        <v>-31.285570918449181</v>
      </c>
      <c r="AR9" s="186">
        <f t="shared" si="24"/>
        <v>94.269807190275841</v>
      </c>
      <c r="AS9" s="179" t="str">
        <f t="shared" si="25"/>
        <v>-0.000332708491999453-0.000551614587479713i</v>
      </c>
      <c r="AT9" s="185">
        <f t="shared" si="26"/>
        <v>-63.819795380958496</v>
      </c>
      <c r="AU9" s="186">
        <f t="shared" si="27"/>
        <v>-121.09644328381393</v>
      </c>
      <c r="AV9" s="225"/>
    </row>
    <row r="10" spans="1:51" x14ac:dyDescent="0.3">
      <c r="A10" s="98" t="s">
        <v>25</v>
      </c>
      <c r="B10" s="187">
        <f>VIN_min</f>
        <v>37</v>
      </c>
      <c r="C10" s="98" t="s">
        <v>10</v>
      </c>
      <c r="E10" s="98" t="s">
        <v>28</v>
      </c>
      <c r="N10" s="168" t="s">
        <v>254</v>
      </c>
      <c r="O10" s="188">
        <f>wz_esr/(2*PI())</f>
        <v>1693137.6924669717</v>
      </c>
      <c r="P10" s="189" t="str">
        <f t="shared" si="28"/>
        <v>108.75</v>
      </c>
      <c r="Q10" s="160" t="str">
        <f t="shared" si="29"/>
        <v>1+26999.9999999999i</v>
      </c>
      <c r="R10" s="160">
        <f t="shared" si="0"/>
        <v>27000.000018518418</v>
      </c>
      <c r="S10" s="160">
        <f t="shared" si="1"/>
        <v>1.5707592897578766</v>
      </c>
      <c r="T10" s="160" t="str">
        <f t="shared" si="30"/>
        <v>1+i</v>
      </c>
      <c r="U10" s="160">
        <f t="shared" si="2"/>
        <v>1.4142135623730951</v>
      </c>
      <c r="V10" s="160">
        <f t="shared" si="3"/>
        <v>0.78539816339744828</v>
      </c>
      <c r="W10" s="98" t="str">
        <f t="shared" si="31"/>
        <v>1-7.94326241134752i</v>
      </c>
      <c r="X10" s="160">
        <f t="shared" si="4"/>
        <v>8.0059613873367148</v>
      </c>
      <c r="Y10" s="160">
        <f t="shared" si="5"/>
        <v>-1.4455623081914919</v>
      </c>
      <c r="Z10" s="98" t="str">
        <f t="shared" si="6"/>
        <v>-56.9061279263193+15.3217963361401i</v>
      </c>
      <c r="AA10" s="160">
        <f t="shared" si="7"/>
        <v>58.932714501648171</v>
      </c>
      <c r="AB10" s="160">
        <f t="shared" si="8"/>
        <v>2.8785829174490511</v>
      </c>
      <c r="AC10" s="171" t="str">
        <f t="shared" si="9"/>
        <v>0.00029928224335357+0.000713597153523688i</v>
      </c>
      <c r="AD10" s="190">
        <f t="shared" si="10"/>
        <v>-62.227249108588644</v>
      </c>
      <c r="AE10" s="169">
        <f t="shared" si="11"/>
        <v>67.246850635058692</v>
      </c>
      <c r="AF10" s="98" t="str">
        <f t="shared" si="12"/>
        <v>-0.0000366300366300366</v>
      </c>
      <c r="AG10" s="98" t="str">
        <f t="shared" si="13"/>
        <v>0.734042553191489i</v>
      </c>
      <c r="AH10" s="98">
        <f t="shared" si="14"/>
        <v>0.73404255319148903</v>
      </c>
      <c r="AI10" s="98">
        <f t="shared" si="15"/>
        <v>1.5707963267948966</v>
      </c>
      <c r="AJ10" s="98" t="str">
        <f t="shared" si="16"/>
        <v>1+104.841196423065i</v>
      </c>
      <c r="AK10" s="98">
        <f t="shared" si="17"/>
        <v>104.84596543224589</v>
      </c>
      <c r="AL10" s="98">
        <f t="shared" si="18"/>
        <v>1.5612583807412994</v>
      </c>
      <c r="AM10" s="98" t="str">
        <f t="shared" si="19"/>
        <v>1+7234.04255319146i</v>
      </c>
      <c r="AN10" s="98">
        <f t="shared" si="20"/>
        <v>7234.0426223091072</v>
      </c>
      <c r="AO10" s="98">
        <f t="shared" si="21"/>
        <v>1.5706580915016595</v>
      </c>
      <c r="AP10" s="168" t="str">
        <f t="shared" si="22"/>
        <v>-0.0000323633560150804+0.00344291475391885i</v>
      </c>
      <c r="AQ10" s="98">
        <f t="shared" si="23"/>
        <v>-49.261090880000424</v>
      </c>
      <c r="AR10" s="169">
        <f t="shared" si="24"/>
        <v>90.538563755212337</v>
      </c>
      <c r="AS10" s="168" t="str">
        <f t="shared" si="25"/>
        <v>-2.46653994601184E-06+0.0000010073088524971i</v>
      </c>
      <c r="AT10" s="190">
        <f t="shared" si="26"/>
        <v>-111.48833998858908</v>
      </c>
      <c r="AU10" s="169">
        <f t="shared" si="27"/>
        <v>157.78541439027109</v>
      </c>
      <c r="AV10" s="225"/>
    </row>
    <row r="11" spans="1:51" ht="15.6" thickBot="1" x14ac:dyDescent="0.35">
      <c r="A11" s="98" t="s">
        <v>26</v>
      </c>
      <c r="B11" s="187">
        <f>VIN_nom</f>
        <v>45</v>
      </c>
      <c r="C11" s="98" t="s">
        <v>10</v>
      </c>
      <c r="E11" s="98" t="s">
        <v>29</v>
      </c>
      <c r="N11" s="191" t="s">
        <v>252</v>
      </c>
      <c r="O11" s="192">
        <f>wp_lf/(2*PI())</f>
        <v>62.708803424702658</v>
      </c>
      <c r="P11" s="193" t="str">
        <f t="shared" si="28"/>
        <v>108.75</v>
      </c>
      <c r="Q11" s="194" t="str">
        <f t="shared" si="29"/>
        <v>1+i</v>
      </c>
      <c r="R11" s="194">
        <f t="shared" si="0"/>
        <v>1.4142135623730951</v>
      </c>
      <c r="S11" s="194">
        <f t="shared" si="1"/>
        <v>0.78539816339744828</v>
      </c>
      <c r="T11" s="194" t="str">
        <f t="shared" si="30"/>
        <v>1+0.0000370370370370372i</v>
      </c>
      <c r="U11" s="194">
        <f t="shared" si="2"/>
        <v>1.0000000006858709</v>
      </c>
      <c r="V11" s="194">
        <f t="shared" si="3"/>
        <v>3.703703702010211E-5</v>
      </c>
      <c r="W11" s="195" t="str">
        <f t="shared" si="31"/>
        <v>1-0.000294194904123983i</v>
      </c>
      <c r="X11" s="194">
        <f t="shared" si="4"/>
        <v>1.0000000432753198</v>
      </c>
      <c r="Y11" s="194">
        <f t="shared" si="5"/>
        <v>-2.9419489563639752E-4</v>
      </c>
      <c r="Z11" s="195" t="str">
        <f t="shared" si="6"/>
        <v>0.999999920567726+0.00056747393837556i</v>
      </c>
      <c r="AA11" s="194">
        <f t="shared" si="7"/>
        <v>1.0000000815810612</v>
      </c>
      <c r="AB11" s="194">
        <f t="shared" si="8"/>
        <v>5.6747392253739173E-4</v>
      </c>
      <c r="AC11" s="196" t="str">
        <f t="shared" si="9"/>
        <v>54.3301401201124-54.4198188127753i</v>
      </c>
      <c r="AD11" s="197">
        <f t="shared" si="10"/>
        <v>37.718285029131692</v>
      </c>
      <c r="AE11" s="198">
        <f t="shared" si="11"/>
        <v>-45.047247920712458</v>
      </c>
      <c r="AF11" s="195" t="str">
        <f t="shared" si="12"/>
        <v>-0.0000366300366300366</v>
      </c>
      <c r="AG11" s="195" t="str">
        <f t="shared" si="13"/>
        <v>0.0000271867612293144i</v>
      </c>
      <c r="AH11" s="195">
        <f t="shared" si="14"/>
        <v>2.7186761229314399E-5</v>
      </c>
      <c r="AI11" s="195">
        <f t="shared" si="15"/>
        <v>1.5707963267948966</v>
      </c>
      <c r="AJ11" s="195" t="str">
        <f t="shared" si="16"/>
        <v>1+0.00388300727492834i</v>
      </c>
      <c r="AK11" s="195">
        <f t="shared" si="17"/>
        <v>1.0000075388443315</v>
      </c>
      <c r="AL11" s="195">
        <f t="shared" si="18"/>
        <v>3.8829877594397377E-3</v>
      </c>
      <c r="AM11" s="195" t="str">
        <f t="shared" si="19"/>
        <v>1+0.267927501970055i</v>
      </c>
      <c r="AN11" s="195">
        <f t="shared" si="20"/>
        <v>1.0352705667176643</v>
      </c>
      <c r="AO11" s="195">
        <f t="shared" si="21"/>
        <v>0.2617791502137255</v>
      </c>
      <c r="AP11" s="191" t="str">
        <f t="shared" si="22"/>
        <v>-0.355754538097317+1.34872970132956i</v>
      </c>
      <c r="AQ11" s="195">
        <f t="shared" si="23"/>
        <v>2.8906094576496999</v>
      </c>
      <c r="AR11" s="198">
        <f t="shared" si="24"/>
        <v>104.77636166125086</v>
      </c>
      <c r="AS11" s="191" t="str">
        <f t="shared" si="25"/>
        <v>54.0694320705701+92.6367711624709i</v>
      </c>
      <c r="AT11" s="197">
        <f t="shared" si="26"/>
        <v>40.608894486781395</v>
      </c>
      <c r="AU11" s="198">
        <f t="shared" si="27"/>
        <v>59.729113740538409</v>
      </c>
      <c r="AV11" s="225"/>
      <c r="AX11" s="213" t="s">
        <v>537</v>
      </c>
      <c r="AY11" s="213"/>
    </row>
    <row r="12" spans="1:51" x14ac:dyDescent="0.3">
      <c r="A12" s="98" t="s">
        <v>27</v>
      </c>
      <c r="B12" s="187">
        <f>VIN_max</f>
        <v>57</v>
      </c>
      <c r="C12" s="98" t="s">
        <v>10</v>
      </c>
      <c r="E12" s="98" t="s">
        <v>30</v>
      </c>
      <c r="N12" s="179" t="s">
        <v>263</v>
      </c>
      <c r="O12" s="186">
        <f>wz_ea/(2*PI())</f>
        <v>234.05138689984608</v>
      </c>
      <c r="P12" s="181" t="str">
        <f t="shared" si="28"/>
        <v>108.75</v>
      </c>
      <c r="Q12" s="182" t="str">
        <f t="shared" si="29"/>
        <v>1+3.73235294117647i</v>
      </c>
      <c r="R12" s="182">
        <f t="shared" si="0"/>
        <v>3.8639951446021055</v>
      </c>
      <c r="S12" s="182">
        <f t="shared" si="1"/>
        <v>1.3090171765811709</v>
      </c>
      <c r="T12" s="182" t="str">
        <f t="shared" si="30"/>
        <v>1+0.000138235294117648i</v>
      </c>
      <c r="U12" s="182">
        <f t="shared" si="2"/>
        <v>1.0000000095544983</v>
      </c>
      <c r="V12" s="182">
        <f t="shared" si="3"/>
        <v>1.3823529323713543E-4</v>
      </c>
      <c r="W12" s="183" t="str">
        <f t="shared" si="31"/>
        <v>1-0.00109803921568628i</v>
      </c>
      <c r="X12" s="182">
        <f t="shared" si="4"/>
        <v>1.0000006028448778</v>
      </c>
      <c r="Y12" s="182">
        <f t="shared" si="5"/>
        <v>-1.0980387743882549E-3</v>
      </c>
      <c r="Z12" s="183" t="str">
        <f t="shared" si="6"/>
        <v>0.999998893472002+0.00211801302293702i</v>
      </c>
      <c r="AA12" s="182">
        <f t="shared" si="7"/>
        <v>1.0000011364615511</v>
      </c>
      <c r="AB12" s="182">
        <f t="shared" si="8"/>
        <v>2.1180121994575701E-3</v>
      </c>
      <c r="AC12" s="184" t="str">
        <f t="shared" si="9"/>
        <v>7.20005790106826-27.2078690350974i</v>
      </c>
      <c r="AD12" s="185">
        <f t="shared" si="10"/>
        <v>28.987849320183017</v>
      </c>
      <c r="AE12" s="186">
        <f t="shared" si="11"/>
        <v>-75.177505376850362</v>
      </c>
      <c r="AF12" s="183" t="str">
        <f t="shared" si="12"/>
        <v>-0.0000366300366300366</v>
      </c>
      <c r="AG12" s="183" t="str">
        <f t="shared" si="13"/>
        <v>0.000101470588235294i</v>
      </c>
      <c r="AH12" s="183">
        <f t="shared" si="14"/>
        <v>1.01470588235294E-4</v>
      </c>
      <c r="AI12" s="183">
        <f t="shared" si="15"/>
        <v>1.5707963267948966</v>
      </c>
      <c r="AJ12" s="183" t="str">
        <f t="shared" si="16"/>
        <v>1+0.0144927536231884i</v>
      </c>
      <c r="AK12" s="183">
        <f t="shared" si="17"/>
        <v>1.000105014439775</v>
      </c>
      <c r="AL12" s="183">
        <f t="shared" si="18"/>
        <v>1.4491739065500017E-2</v>
      </c>
      <c r="AM12" s="183" t="str">
        <f t="shared" si="19"/>
        <v>1+i</v>
      </c>
      <c r="AN12" s="183">
        <f t="shared" si="20"/>
        <v>1.4142135623730951</v>
      </c>
      <c r="AO12" s="183">
        <f t="shared" si="21"/>
        <v>0.78539816339744828</v>
      </c>
      <c r="AP12" s="179" t="str">
        <f t="shared" si="22"/>
        <v>-0.355685193988428+0.366146523223382i</v>
      </c>
      <c r="AQ12" s="183">
        <f t="shared" si="23"/>
        <v>-5.8406686407391888</v>
      </c>
      <c r="AR12" s="186">
        <f t="shared" si="24"/>
        <v>134.16968451374197</v>
      </c>
      <c r="AS12" s="179" t="str">
        <f t="shared" si="25"/>
        <v>7.40111266024865+12.3137123432435i</v>
      </c>
      <c r="AT12" s="185">
        <f t="shared" si="26"/>
        <v>23.147180679443803</v>
      </c>
      <c r="AU12" s="186">
        <f t="shared" si="27"/>
        <v>58.992179136891501</v>
      </c>
      <c r="AV12" s="225"/>
      <c r="AX12" t="s">
        <v>538</v>
      </c>
      <c r="AY12">
        <f>SUM(AX19:AX559)/1000</f>
        <v>2.3988329190194917</v>
      </c>
    </row>
    <row r="13" spans="1:51" ht="15.6" thickBot="1" x14ac:dyDescent="0.35">
      <c r="A13" s="98" t="s">
        <v>68</v>
      </c>
      <c r="B13" s="187">
        <f>Fsw</f>
        <v>445000</v>
      </c>
      <c r="C13" s="98" t="s">
        <v>69</v>
      </c>
      <c r="E13" s="98" t="s">
        <v>70</v>
      </c>
      <c r="N13" s="191" t="s">
        <v>269</v>
      </c>
      <c r="O13" s="198">
        <f>wp1_ea/(2*PI())</f>
        <v>16149.545696089379</v>
      </c>
      <c r="P13" s="193" t="str">
        <f t="shared" si="28"/>
        <v>108.75</v>
      </c>
      <c r="Q13" s="194" t="str">
        <f t="shared" si="29"/>
        <v>1+257.532352941176i</v>
      </c>
      <c r="R13" s="194">
        <f t="shared" si="0"/>
        <v>257.53429443749513</v>
      </c>
      <c r="S13" s="194">
        <f t="shared" si="1"/>
        <v>1.5669133390354568</v>
      </c>
      <c r="T13" s="194" t="str">
        <f t="shared" si="30"/>
        <v>1+0.00953823529411766i</v>
      </c>
      <c r="U13" s="194">
        <f t="shared" si="2"/>
        <v>1.0000454879316871</v>
      </c>
      <c r="V13" s="194">
        <f t="shared" si="3"/>
        <v>9.5379460535971964E-3</v>
      </c>
      <c r="W13" s="195" t="str">
        <f t="shared" si="31"/>
        <v>1-0.0757647058823531i</v>
      </c>
      <c r="X13" s="194">
        <f t="shared" si="4"/>
        <v>1.0028660382411201</v>
      </c>
      <c r="Y13" s="194">
        <f t="shared" si="5"/>
        <v>-7.5620232670029694E-2</v>
      </c>
      <c r="Z13" s="195" t="str">
        <f t="shared" si="6"/>
        <v>0.99473182020068+0.146142898582654i</v>
      </c>
      <c r="AA13" s="194">
        <f t="shared" si="7"/>
        <v>1.0054099367551019</v>
      </c>
      <c r="AB13" s="194">
        <f t="shared" si="8"/>
        <v>0.1458733191479305</v>
      </c>
      <c r="AC13" s="196" t="str">
        <f t="shared" si="9"/>
        <v>-0.087014245456652-0.412139132284404i</v>
      </c>
      <c r="AD13" s="197">
        <f t="shared" si="10"/>
        <v>-7.5097259676552861</v>
      </c>
      <c r="AE13" s="198">
        <f t="shared" si="11"/>
        <v>-101.92168284391987</v>
      </c>
      <c r="AF13" s="195" t="str">
        <f t="shared" si="12"/>
        <v>-0.0000366300366300366</v>
      </c>
      <c r="AG13" s="195" t="str">
        <f t="shared" si="13"/>
        <v>0.00700147058823529i</v>
      </c>
      <c r="AH13" s="195">
        <f t="shared" si="14"/>
        <v>7.0014705882352904E-3</v>
      </c>
      <c r="AI13" s="195">
        <f t="shared" si="15"/>
        <v>1.5707963267948966</v>
      </c>
      <c r="AJ13" s="195" t="str">
        <f t="shared" si="16"/>
        <v>1+i</v>
      </c>
      <c r="AK13" s="195">
        <f t="shared" si="17"/>
        <v>1.4142135623730951</v>
      </c>
      <c r="AL13" s="195">
        <f t="shared" si="18"/>
        <v>0.78539816339744828</v>
      </c>
      <c r="AM13" s="195" t="str">
        <f t="shared" si="19"/>
        <v>1+68.9999999999998i</v>
      </c>
      <c r="AN13" s="195">
        <f t="shared" si="20"/>
        <v>69.007245996344267</v>
      </c>
      <c r="AO13" s="195">
        <f t="shared" si="21"/>
        <v>1.5563045877293966</v>
      </c>
      <c r="AP13" s="191" t="str">
        <f t="shared" si="22"/>
        <v>-0.17787995103685+0.18311171430264i</v>
      </c>
      <c r="AQ13" s="195">
        <f t="shared" si="23"/>
        <v>-11.859444362131841</v>
      </c>
      <c r="AR13" s="198">
        <f t="shared" si="24"/>
        <v>134.16968451374194</v>
      </c>
      <c r="AS13" s="191" t="str">
        <f t="shared" si="25"/>
        <v>0.0909455927651374+0.0573779610168014i</v>
      </c>
      <c r="AT13" s="197">
        <f t="shared" si="26"/>
        <v>-19.369170329787131</v>
      </c>
      <c r="AU13" s="198">
        <f t="shared" si="27"/>
        <v>32.248001669822102</v>
      </c>
      <c r="AV13" s="225"/>
      <c r="AX13"/>
      <c r="AY13"/>
    </row>
    <row r="14" spans="1:51" x14ac:dyDescent="0.3">
      <c r="A14" s="98" t="s">
        <v>563</v>
      </c>
      <c r="B14" s="98" t="s">
        <v>495</v>
      </c>
      <c r="E14" s="98" t="s">
        <v>564</v>
      </c>
      <c r="AX14" t="s">
        <v>539</v>
      </c>
      <c r="AY14" s="23">
        <f>SUM(AY19:AY559)</f>
        <v>75.668617314558432</v>
      </c>
    </row>
    <row r="15" spans="1:51" ht="15.6" thickBot="1" x14ac:dyDescent="0.35">
      <c r="O15" s="199" t="s">
        <v>231</v>
      </c>
      <c r="P15" s="98">
        <f>B17</f>
        <v>45</v>
      </c>
      <c r="Q15" s="98" t="s">
        <v>10</v>
      </c>
    </row>
    <row r="16" spans="1:51" ht="15.6" thickBot="1" x14ac:dyDescent="0.35">
      <c r="A16" s="200" t="s">
        <v>262</v>
      </c>
      <c r="O16" s="201"/>
      <c r="P16" s="241" t="s">
        <v>260</v>
      </c>
      <c r="Q16" s="241"/>
      <c r="R16" s="241"/>
      <c r="S16" s="241"/>
      <c r="T16" s="241"/>
      <c r="U16" s="241"/>
      <c r="V16" s="241"/>
      <c r="W16" s="241"/>
      <c r="X16" s="241"/>
      <c r="Y16" s="241"/>
      <c r="Z16" s="241"/>
      <c r="AA16" s="241"/>
      <c r="AB16" s="241"/>
      <c r="AC16" s="241"/>
      <c r="AD16" s="241"/>
      <c r="AE16" s="242"/>
      <c r="AF16" s="240" t="s">
        <v>261</v>
      </c>
      <c r="AG16" s="241"/>
      <c r="AH16" s="241"/>
      <c r="AI16" s="241"/>
      <c r="AJ16" s="241"/>
      <c r="AK16" s="241"/>
      <c r="AL16" s="241"/>
      <c r="AM16" s="241"/>
      <c r="AN16" s="241"/>
      <c r="AO16" s="241"/>
      <c r="AP16" s="241"/>
      <c r="AQ16" s="241"/>
      <c r="AR16" s="242"/>
      <c r="AS16" s="240" t="s">
        <v>272</v>
      </c>
      <c r="AT16" s="241"/>
      <c r="AU16" s="242"/>
    </row>
    <row r="17" spans="1:51" x14ac:dyDescent="0.3">
      <c r="A17" s="98" t="s">
        <v>233</v>
      </c>
      <c r="B17" s="98">
        <f>VIN_var</f>
        <v>45</v>
      </c>
      <c r="C17" s="98" t="s">
        <v>10</v>
      </c>
      <c r="E17" s="98" t="s">
        <v>234</v>
      </c>
      <c r="O17" s="202"/>
      <c r="Q17" s="243" t="s">
        <v>252</v>
      </c>
      <c r="R17" s="243"/>
      <c r="S17" s="243"/>
      <c r="T17" s="238" t="s">
        <v>254</v>
      </c>
      <c r="U17" s="238"/>
      <c r="V17" s="238"/>
      <c r="W17" s="238" t="s">
        <v>253</v>
      </c>
      <c r="X17" s="238"/>
      <c r="Y17" s="238"/>
      <c r="Z17" s="238" t="s">
        <v>257</v>
      </c>
      <c r="AA17" s="238"/>
      <c r="AB17" s="238"/>
      <c r="AC17" s="237" t="s">
        <v>259</v>
      </c>
      <c r="AD17" s="238"/>
      <c r="AE17" s="239"/>
      <c r="AG17" s="238" t="s">
        <v>268</v>
      </c>
      <c r="AH17" s="238"/>
      <c r="AI17" s="238"/>
      <c r="AJ17" s="238" t="s">
        <v>269</v>
      </c>
      <c r="AK17" s="238"/>
      <c r="AL17" s="238"/>
      <c r="AM17" s="238" t="s">
        <v>263</v>
      </c>
      <c r="AN17" s="238"/>
      <c r="AO17" s="238"/>
      <c r="AP17" s="237" t="s">
        <v>259</v>
      </c>
      <c r="AQ17" s="238"/>
      <c r="AR17" s="239"/>
      <c r="AS17" s="237" t="s">
        <v>259</v>
      </c>
      <c r="AT17" s="238"/>
      <c r="AU17" s="239"/>
      <c r="AV17" s="223"/>
    </row>
    <row r="18" spans="1:51" ht="15.6" thickBot="1" x14ac:dyDescent="0.35">
      <c r="A18" s="98" t="s">
        <v>450</v>
      </c>
      <c r="C18" s="98" t="s">
        <v>11</v>
      </c>
      <c r="E18" s="98" t="s">
        <v>451</v>
      </c>
      <c r="N18" s="170"/>
      <c r="O18" s="203" t="s">
        <v>230</v>
      </c>
      <c r="P18" s="194" t="s">
        <v>235</v>
      </c>
      <c r="Q18" s="195" t="s">
        <v>258</v>
      </c>
      <c r="R18" s="194" t="s">
        <v>255</v>
      </c>
      <c r="S18" s="194" t="s">
        <v>256</v>
      </c>
      <c r="T18" s="194" t="s">
        <v>258</v>
      </c>
      <c r="U18" s="194" t="s">
        <v>255</v>
      </c>
      <c r="V18" s="194" t="s">
        <v>256</v>
      </c>
      <c r="W18" s="194" t="s">
        <v>258</v>
      </c>
      <c r="X18" s="194" t="s">
        <v>255</v>
      </c>
      <c r="Y18" s="194" t="s">
        <v>256</v>
      </c>
      <c r="Z18" s="194" t="s">
        <v>258</v>
      </c>
      <c r="AA18" s="194" t="s">
        <v>255</v>
      </c>
      <c r="AB18" s="194" t="s">
        <v>256</v>
      </c>
      <c r="AC18" s="196" t="s">
        <v>273</v>
      </c>
      <c r="AD18" s="194" t="s">
        <v>255</v>
      </c>
      <c r="AE18" s="204" t="s">
        <v>256</v>
      </c>
      <c r="AF18" s="194" t="s">
        <v>270</v>
      </c>
      <c r="AG18" s="194" t="s">
        <v>258</v>
      </c>
      <c r="AH18" s="194" t="s">
        <v>271</v>
      </c>
      <c r="AI18" s="194" t="s">
        <v>256</v>
      </c>
      <c r="AJ18" s="194" t="s">
        <v>258</v>
      </c>
      <c r="AK18" s="194" t="s">
        <v>271</v>
      </c>
      <c r="AL18" s="194" t="s">
        <v>256</v>
      </c>
      <c r="AM18" s="194" t="s">
        <v>258</v>
      </c>
      <c r="AN18" s="194" t="s">
        <v>271</v>
      </c>
      <c r="AO18" s="194" t="s">
        <v>256</v>
      </c>
      <c r="AP18" s="196" t="s">
        <v>273</v>
      </c>
      <c r="AQ18" s="194" t="s">
        <v>255</v>
      </c>
      <c r="AR18" s="204" t="s">
        <v>256</v>
      </c>
      <c r="AS18" s="196" t="s">
        <v>273</v>
      </c>
      <c r="AT18" s="194" t="s">
        <v>255</v>
      </c>
      <c r="AU18" s="204" t="s">
        <v>256</v>
      </c>
      <c r="AV18" s="225"/>
      <c r="AX18" s="98" t="s">
        <v>535</v>
      </c>
      <c r="AY18" s="98" t="s">
        <v>536</v>
      </c>
    </row>
    <row r="19" spans="1:51" x14ac:dyDescent="0.3">
      <c r="N19" s="170">
        <v>1</v>
      </c>
      <c r="O19" s="199">
        <f>10^(1+(N19/100))</f>
        <v>10.232929922807543</v>
      </c>
      <c r="P19" s="189" t="str">
        <f t="shared" ref="P19:P82" si="32">COMPLEX(Adc,0)</f>
        <v>108.75</v>
      </c>
      <c r="Q19" s="160" t="str">
        <f t="shared" ref="Q19:Q82" si="33">IMSUM(COMPLEX(1,0),IMDIV(COMPLEX(0,2*PI()*O19),COMPLEX(wp_lf,0)))</f>
        <v>1+0.163181712358691i</v>
      </c>
      <c r="R19" s="160">
        <f>IMABS(Q19)</f>
        <v>1.0132266633129601</v>
      </c>
      <c r="S19" s="160">
        <f>IMARGUMENT(Q19)</f>
        <v>0.1617560067781724</v>
      </c>
      <c r="T19" s="160" t="str">
        <f t="shared" ref="T19:T82" si="34">IMSUM(COMPLEX(1,0),IMDIV(COMPLEX(0,2*PI()*O19),COMPLEX(wz_esr,0)))</f>
        <v>1+6.04376712439599E-06i</v>
      </c>
      <c r="U19" s="160">
        <f>IMABS(T19)</f>
        <v>1.0000000000182636</v>
      </c>
      <c r="V19" s="160">
        <f>IMARGUMENT(T19)</f>
        <v>6.043767124322403E-6</v>
      </c>
      <c r="W19" s="98" t="str">
        <f t="shared" ref="W19:W82" si="35">IMSUB(COMPLEX(1,0),IMDIV(COMPLEX(0,2*PI()*O19),COMPLEX(wz_rhp,0)))</f>
        <v>1-0.0000480072282221526i</v>
      </c>
      <c r="X19" s="160">
        <f>IMABS(W19)</f>
        <v>1.0000000011523469</v>
      </c>
      <c r="Y19" s="160">
        <f>IMARGUMENT(W19)</f>
        <v>-4.8007228185271943E-5</v>
      </c>
      <c r="Z19" s="98" t="str">
        <f t="shared" ref="Z19:Z82" si="36">IF(Dc_Mode_Loop="CCM",IMSUM(COMPLEX(1,0),IMDIV(COMPLEX(0,2*PI()*O19),COMPLEX(Q*(wsl/2),0)),IMDIV(IMPOWER(COMPLEX(0,2*PI()*O19),2),IMPOWER(COMPLEX(wsl/2,0),2))),COMPLEX(1,0))</f>
        <v>0.999999997884856+0.0000926013689830542i</v>
      </c>
      <c r="AA19" s="160">
        <f>IMABS(Z19)</f>
        <v>1.0000000021723627</v>
      </c>
      <c r="AB19" s="160">
        <f>IMARGUMENT(Z19)</f>
        <v>9.2601368914233434E-5</v>
      </c>
      <c r="AC19" s="171" t="str">
        <f>(IMDIV(IMPRODUCT(P19,T19,W19),IMPRODUCT(Q19,Z19)))</f>
        <v>105.926959117588-17.2999764989581i</v>
      </c>
      <c r="AD19" s="190">
        <f>20*LOG(IMABS(AC19))</f>
        <v>40.614453107097262</v>
      </c>
      <c r="AE19" s="169">
        <f>(180/PI())*IMARGUMENT(AC19)</f>
        <v>-9.2756464961073171</v>
      </c>
      <c r="AF19" s="98" t="str">
        <f t="shared" ref="AF19:AF82" si="37">COMPLEX(Adc_ea,0)</f>
        <v>-0.0000366300366300366</v>
      </c>
      <c r="AG19" s="98" t="str">
        <f t="shared" ref="AG19:AG82" si="38">COMPLEX(0,2*PI()*O19*wp0_ea)</f>
        <v>4.43638225088641E-06i</v>
      </c>
      <c r="AH19" s="98">
        <f>IMABS(AG19)</f>
        <v>4.43638225088641E-6</v>
      </c>
      <c r="AI19" s="98">
        <f>IMARGUMENT(AG19)</f>
        <v>1.5707963267948966</v>
      </c>
      <c r="AJ19" s="98" t="str">
        <f t="shared" ref="AJ19:AJ82" si="39">IMSUM(COMPLEX(1,0),IMDIV(COMPLEX(0,2*PI()*O19),COMPLEX(wp1_ea,0)))</f>
        <v>1+0.000633635776224062i</v>
      </c>
      <c r="AK19" s="98">
        <f>IMABS(AJ19)</f>
        <v>1.0000002007471283</v>
      </c>
      <c r="AL19" s="98">
        <f>IMARGUMENT(AJ19)</f>
        <v>6.3363569142369902E-4</v>
      </c>
      <c r="AM19" s="98" t="str">
        <f t="shared" ref="AM19:AM82" si="40">IMSUM(COMPLEX(1,0),IMDIV(COMPLEX(0,2*PI()*O19),COMPLEX(wz_ea,0)))</f>
        <v>1+0.0437208685594602i</v>
      </c>
      <c r="AN19" s="98">
        <f>IMABS(AM19)</f>
        <v>1.0009553008739169</v>
      </c>
      <c r="AO19" s="98">
        <f>IMARGUMENT(AM19)</f>
        <v>4.3693042776944482E-2</v>
      </c>
      <c r="AP19" s="168" t="str">
        <f>IMPRODUCT(AF19,IMDIV(AM19,IMPRODUCT(AG19,AJ19)))</f>
        <v>-0.355759759238187+8.25696132955421i</v>
      </c>
      <c r="AQ19" s="98">
        <f>20*LOG(IMABS(AP19))</f>
        <v>18.344459810724175</v>
      </c>
      <c r="AR19" s="169">
        <f>(180/PI())*IMARGUMENT(AP19)</f>
        <v>92.467122294336036</v>
      </c>
      <c r="AS19" s="168" t="str">
        <f>IMPRODUCT(AC19,AP19)</f>
        <v>105.160687481587+880.789440665289i</v>
      </c>
      <c r="AT19" s="190">
        <f>20*LOG(IMABS(AS19))</f>
        <v>58.958912917821429</v>
      </c>
      <c r="AU19" s="169">
        <f>(180/PI())*IMARGUMENT(AS19)</f>
        <v>83.191475798228751</v>
      </c>
      <c r="AV19" s="225"/>
      <c r="AX19">
        <f>SUM((AT20&lt;0)*(AT19&gt;0))*O19</f>
        <v>0</v>
      </c>
      <c r="AY19">
        <f>IF(AX19&gt;0,AU19,0)</f>
        <v>0</v>
      </c>
    </row>
    <row r="20" spans="1:51" x14ac:dyDescent="0.3">
      <c r="A20" s="98" t="s">
        <v>31</v>
      </c>
      <c r="B20" s="205">
        <f>VOUT</f>
        <v>54</v>
      </c>
      <c r="C20" s="98" t="s">
        <v>10</v>
      </c>
      <c r="E20" s="98" t="s">
        <v>206</v>
      </c>
      <c r="N20" s="170">
        <v>2</v>
      </c>
      <c r="O20" s="199">
        <f t="shared" ref="O20:O83" si="41">10^(1+(N20/100))</f>
        <v>10.471285480509</v>
      </c>
      <c r="P20" s="189" t="str">
        <f t="shared" si="32"/>
        <v>108.75</v>
      </c>
      <c r="Q20" s="160" t="str">
        <f t="shared" si="33"/>
        <v>1+0.166982702725022i</v>
      </c>
      <c r="R20" s="160">
        <f t="shared" ref="R20:R83" si="42">IMABS(Q20)</f>
        <v>1.0138457589837584</v>
      </c>
      <c r="S20" s="160">
        <f t="shared" ref="S20:S83" si="43">IMARGUMENT(Q20)</f>
        <v>0.16545615619019338</v>
      </c>
      <c r="T20" s="160" t="str">
        <f t="shared" si="34"/>
        <v>1+6.18454454537122E-06i</v>
      </c>
      <c r="U20" s="160">
        <f t="shared" ref="U20:U83" si="44">IMABS(T20)</f>
        <v>1.0000000000191243</v>
      </c>
      <c r="V20" s="160">
        <f t="shared" ref="V20:V83" si="45">IMARGUMENT(T20)</f>
        <v>6.1845445452923695E-6</v>
      </c>
      <c r="W20" s="98" t="str">
        <f t="shared" si="35"/>
        <v>1-0.0000491254602185516i</v>
      </c>
      <c r="X20" s="160">
        <f t="shared" ref="X20:X83" si="46">IMABS(W20)</f>
        <v>1.0000000012066554</v>
      </c>
      <c r="Y20" s="160">
        <f t="shared" ref="Y20:Y83" si="47">IMARGUMENT(W20)</f>
        <v>-4.9125460179033261E-5</v>
      </c>
      <c r="Z20" s="98" t="str">
        <f t="shared" si="36"/>
        <v>0.999999997785172+0.0000947583319559638i</v>
      </c>
      <c r="AA20" s="160">
        <f t="shared" ref="AA20:AA83" si="48">IMABS(Z20)</f>
        <v>1.0000000022747426</v>
      </c>
      <c r="AB20" s="160">
        <f t="shared" ref="AB20:AB83" si="49">IMARGUMENT(Z20)</f>
        <v>9.4758331882221049E-5</v>
      </c>
      <c r="AC20" s="171" t="str">
        <f t="shared" ref="AC20:AC83" si="50">(IMDIV(IMPRODUCT(P20,T20,W20),IMPRODUCT(Q20,Z20)))</f>
        <v>105.797522412233-17.6813310271102i</v>
      </c>
      <c r="AD20" s="190">
        <f t="shared" ref="AD20:AD83" si="51">20*LOG(IMABS(AC20))</f>
        <v>40.609147527290986</v>
      </c>
      <c r="AE20" s="169">
        <f t="shared" ref="AE20:AE83" si="52">(180/PI())*IMARGUMENT(AC20)</f>
        <v>-9.4878290298802845</v>
      </c>
      <c r="AF20" s="98" t="str">
        <f t="shared" si="37"/>
        <v>-0.0000366300366300366</v>
      </c>
      <c r="AG20" s="98" t="str">
        <f t="shared" si="38"/>
        <v>4.53971886841078E-06i</v>
      </c>
      <c r="AH20" s="98">
        <f t="shared" ref="AH20:AH83" si="53">IMABS(AG20)</f>
        <v>4.5397188684107798E-6</v>
      </c>
      <c r="AI20" s="98">
        <f t="shared" ref="AI20:AI83" si="54">IMARGUMENT(AG20)</f>
        <v>1.5707963267948966</v>
      </c>
      <c r="AJ20" s="98" t="str">
        <f t="shared" si="39"/>
        <v>1+0.000648395049468459i</v>
      </c>
      <c r="AK20" s="98">
        <f t="shared" ref="AK20:AK83" si="55">IMABS(AJ20)</f>
        <v>1.0000002102080479</v>
      </c>
      <c r="AL20" s="98">
        <f t="shared" ref="AL20:AL83" si="56">IMARGUMENT(AJ20)</f>
        <v>6.4839495860323395E-4</v>
      </c>
      <c r="AM20" s="98" t="str">
        <f t="shared" si="40"/>
        <v>1+0.0447392584133236i</v>
      </c>
      <c r="AN20" s="98">
        <f t="shared" ref="AN20:AN83" si="57">IMABS(AM20)</f>
        <v>1.0010003003213206</v>
      </c>
      <c r="AO20" s="98">
        <f t="shared" ref="AO20:AO83" si="58">IMARGUMENT(AM20)</f>
        <v>4.4709444159134283E-2</v>
      </c>
      <c r="AP20" s="168" t="str">
        <f t="shared" ref="AP20:AP83" si="59">IMPRODUCT(AF20,IMDIV(AM20,IMPRODUCT(AG20,AJ20)))</f>
        <v>-0.355759752506559+8.06902032521798i</v>
      </c>
      <c r="AQ20" s="98">
        <f t="shared" ref="AQ20:AQ83" si="60">20*LOG(IMABS(AP20))</f>
        <v>18.144850206971626</v>
      </c>
      <c r="AR20" s="169">
        <f t="shared" ref="AR20:AR83" si="61">(180/PI())*IMARGUMENT(AP20)</f>
        <v>92.524512160108685</v>
      </c>
      <c r="AS20" s="168" t="str">
        <f t="shared" ref="AS20:AS83" si="62">IMPRODUCT(AC20,AP20)</f>
        <v>105.032519045476+859.972664652204i</v>
      </c>
      <c r="AT20" s="190">
        <f t="shared" ref="AT20:AT83" si="63">20*LOG(IMABS(AS20))</f>
        <v>58.753997734262612</v>
      </c>
      <c r="AU20" s="169">
        <f t="shared" ref="AU20:AU83" si="64">(180/PI())*IMARGUMENT(AS20)</f>
        <v>83.03668313022844</v>
      </c>
      <c r="AV20" s="225"/>
      <c r="AX20">
        <f t="shared" ref="AX20:AX83" si="65">SUM((AT21&lt;0)*(AT20&gt;0))*O20</f>
        <v>0</v>
      </c>
      <c r="AY20">
        <f t="shared" ref="AY20:AY83" si="66">IF(AX20&gt;0,AU20,0)</f>
        <v>0</v>
      </c>
    </row>
    <row r="21" spans="1:51" x14ac:dyDescent="0.3">
      <c r="A21" s="98" t="s">
        <v>33</v>
      </c>
      <c r="B21" s="205">
        <f>IOUT</f>
        <v>0.5</v>
      </c>
      <c r="C21" s="98" t="s">
        <v>11</v>
      </c>
      <c r="E21" s="98" t="s">
        <v>34</v>
      </c>
      <c r="N21" s="170">
        <v>3</v>
      </c>
      <c r="O21" s="199">
        <f t="shared" si="41"/>
        <v>10.715193052376069</v>
      </c>
      <c r="P21" s="189" t="str">
        <f t="shared" si="32"/>
        <v>108.75</v>
      </c>
      <c r="Q21" s="160" t="str">
        <f t="shared" si="33"/>
        <v>1+0.170872229530616i</v>
      </c>
      <c r="R21" s="160">
        <f t="shared" si="42"/>
        <v>1.0144936268034233</v>
      </c>
      <c r="S21" s="160">
        <f t="shared" si="43"/>
        <v>0.16923776492212844</v>
      </c>
      <c r="T21" s="160" t="str">
        <f t="shared" si="34"/>
        <v>1+6.32860109372653E-06i</v>
      </c>
      <c r="U21" s="160">
        <f t="shared" si="44"/>
        <v>1.0000000000200258</v>
      </c>
      <c r="V21" s="160">
        <f t="shared" si="45"/>
        <v>6.3286010936420411E-6</v>
      </c>
      <c r="W21" s="98" t="str">
        <f t="shared" si="35"/>
        <v>1-0.0000502697391842108i</v>
      </c>
      <c r="X21" s="160">
        <f t="shared" si="46"/>
        <v>1.0000000012635233</v>
      </c>
      <c r="Y21" s="160">
        <f t="shared" si="47"/>
        <v>-5.0269739141866137E-5</v>
      </c>
      <c r="Z21" s="98" t="str">
        <f t="shared" si="36"/>
        <v>0.999999997680791+0.0000969655370507512i</v>
      </c>
      <c r="AA21" s="160">
        <f t="shared" si="48"/>
        <v>1.0000000023819486</v>
      </c>
      <c r="AB21" s="160">
        <f t="shared" si="49"/>
        <v>9.6965536971734375E-5</v>
      </c>
      <c r="AC21" s="171" t="str">
        <f t="shared" si="50"/>
        <v>105.662323865445-18.0700804571154i</v>
      </c>
      <c r="AD21" s="190">
        <f t="shared" si="51"/>
        <v>40.603598841456751</v>
      </c>
      <c r="AE21" s="169">
        <f t="shared" si="52"/>
        <v>-9.7046830220489468</v>
      </c>
      <c r="AF21" s="98" t="str">
        <f t="shared" si="37"/>
        <v>-0.0000366300366300366</v>
      </c>
      <c r="AG21" s="98" t="str">
        <f t="shared" si="38"/>
        <v>4.64546250496946E-06i</v>
      </c>
      <c r="AH21" s="98">
        <f t="shared" si="53"/>
        <v>4.6454625049694599E-6</v>
      </c>
      <c r="AI21" s="98">
        <f t="shared" si="54"/>
        <v>1.5707963267948966</v>
      </c>
      <c r="AJ21" s="98" t="str">
        <f t="shared" si="39"/>
        <v>1+0.000663498110350607i</v>
      </c>
      <c r="AK21" s="98">
        <f t="shared" si="55"/>
        <v>1.000000220114847</v>
      </c>
      <c r="AL21" s="98">
        <f t="shared" si="56"/>
        <v>6.634980129867653E-4</v>
      </c>
      <c r="AM21" s="98" t="str">
        <f t="shared" si="40"/>
        <v>1+0.0457813696141918i</v>
      </c>
      <c r="AN21" s="98">
        <f t="shared" si="57"/>
        <v>1.0010474183592659</v>
      </c>
      <c r="AO21" s="98">
        <f t="shared" si="58"/>
        <v>4.574942487030171E-2</v>
      </c>
      <c r="AP21" s="168" t="str">
        <f t="shared" si="59"/>
        <v>-0.35575974545768+7.88535762226391i</v>
      </c>
      <c r="AQ21" s="98">
        <f t="shared" si="60"/>
        <v>17.94525896440172</v>
      </c>
      <c r="AR21" s="169">
        <f t="shared" si="61"/>
        <v>92.583233324359654</v>
      </c>
      <c r="AS21" s="168" t="str">
        <f t="shared" si="62"/>
        <v>104.898645224599+839.613818102328i</v>
      </c>
      <c r="AT21" s="190">
        <f t="shared" si="63"/>
        <v>58.548857805858468</v>
      </c>
      <c r="AU21" s="169">
        <f t="shared" si="64"/>
        <v>82.878550302310742</v>
      </c>
      <c r="AV21" s="225"/>
      <c r="AX21">
        <f t="shared" si="65"/>
        <v>0</v>
      </c>
      <c r="AY21">
        <f t="shared" si="66"/>
        <v>0</v>
      </c>
    </row>
    <row r="22" spans="1:51" x14ac:dyDescent="0.3">
      <c r="N22" s="170">
        <v>4</v>
      </c>
      <c r="O22" s="199">
        <f t="shared" si="41"/>
        <v>10.964781961431854</v>
      </c>
      <c r="P22" s="189" t="str">
        <f t="shared" si="32"/>
        <v>108.75</v>
      </c>
      <c r="Q22" s="160" t="str">
        <f t="shared" si="33"/>
        <v>1+0.174852355054068i</v>
      </c>
      <c r="R22" s="160">
        <f t="shared" si="42"/>
        <v>1.0151715845451712</v>
      </c>
      <c r="S22" s="160">
        <f t="shared" si="43"/>
        <v>0.1731024051822741</v>
      </c>
      <c r="T22" s="160" t="str">
        <f t="shared" si="34"/>
        <v>1+6.47601315015068E-06i</v>
      </c>
      <c r="U22" s="160">
        <f t="shared" si="44"/>
        <v>1.0000000000209694</v>
      </c>
      <c r="V22" s="160">
        <f t="shared" si="45"/>
        <v>6.4760131500601486E-6</v>
      </c>
      <c r="W22" s="98" t="str">
        <f t="shared" si="35"/>
        <v>1-0.0000514406718309842i</v>
      </c>
      <c r="X22" s="160">
        <f t="shared" si="46"/>
        <v>1.0000000013230712</v>
      </c>
      <c r="Y22" s="160">
        <f t="shared" si="47"/>
        <v>-5.1440671785611076E-5</v>
      </c>
      <c r="Z22" s="98" t="str">
        <f t="shared" si="36"/>
        <v>0.99999999757149+0.0000992241545567735i</v>
      </c>
      <c r="AA22" s="160">
        <f t="shared" si="48"/>
        <v>1.0000000024942064</v>
      </c>
      <c r="AB22" s="160">
        <f t="shared" si="49"/>
        <v>9.9224154472105433E-5</v>
      </c>
      <c r="AC22" s="171" t="str">
        <f t="shared" si="50"/>
        <v>105.52112315069-18.4662974242016i</v>
      </c>
      <c r="AD22" s="190">
        <f t="shared" si="51"/>
        <v>40.597796242322197</v>
      </c>
      <c r="AE22" s="169">
        <f t="shared" si="52"/>
        <v>-9.9262986509519031</v>
      </c>
      <c r="AF22" s="98" t="str">
        <f t="shared" si="37"/>
        <v>-0.0000366300366300366</v>
      </c>
      <c r="AG22" s="98" t="str">
        <f t="shared" si="38"/>
        <v>4.75366922723825E-06i</v>
      </c>
      <c r="AH22" s="98">
        <f t="shared" si="53"/>
        <v>4.7536692272382502E-6</v>
      </c>
      <c r="AI22" s="98">
        <f t="shared" si="54"/>
        <v>1.5707963267948966</v>
      </c>
      <c r="AJ22" s="98" t="str">
        <f t="shared" si="39"/>
        <v>1+0.000678952966713299i</v>
      </c>
      <c r="AK22" s="98">
        <f t="shared" si="55"/>
        <v>1.0000002304885389</v>
      </c>
      <c r="AL22" s="98">
        <f t="shared" si="56"/>
        <v>6.7895286238606428E-4</v>
      </c>
      <c r="AM22" s="98" t="str">
        <f t="shared" si="40"/>
        <v>1+0.0468477547032175i</v>
      </c>
      <c r="AN22" s="98">
        <f t="shared" si="57"/>
        <v>1.0010967546250127</v>
      </c>
      <c r="AO22" s="98">
        <f t="shared" si="58"/>
        <v>4.6813527318453424E-2</v>
      </c>
      <c r="AP22" s="168" t="str">
        <f t="shared" si="59"/>
        <v>-0.355759738076598+7.70587584029574i</v>
      </c>
      <c r="AQ22" s="98">
        <f t="shared" si="60"/>
        <v>17.745686944727975</v>
      </c>
      <c r="AR22" s="169">
        <f t="shared" si="61"/>
        <v>92.643316405964711</v>
      </c>
      <c r="AS22" s="168" t="str">
        <f t="shared" si="62"/>
        <v>104.758828047233+819.702238662652i</v>
      </c>
      <c r="AT22" s="190">
        <f t="shared" si="63"/>
        <v>58.343483187050175</v>
      </c>
      <c r="AU22" s="169">
        <f t="shared" si="64"/>
        <v>82.71701775501279</v>
      </c>
      <c r="AV22" s="225"/>
      <c r="AX22">
        <f t="shared" si="65"/>
        <v>0</v>
      </c>
      <c r="AY22">
        <f t="shared" si="66"/>
        <v>0</v>
      </c>
    </row>
    <row r="23" spans="1:51" x14ac:dyDescent="0.3">
      <c r="A23" s="98" t="s">
        <v>207</v>
      </c>
      <c r="N23" s="170">
        <v>5</v>
      </c>
      <c r="O23" s="199">
        <f t="shared" si="41"/>
        <v>11.220184543019636</v>
      </c>
      <c r="P23" s="189" t="str">
        <f t="shared" si="32"/>
        <v>108.75</v>
      </c>
      <c r="Q23" s="160" t="str">
        <f t="shared" si="33"/>
        <v>1+0.178925189610614i</v>
      </c>
      <c r="R23" s="160">
        <f t="shared" si="42"/>
        <v>1.0158810085227472</v>
      </c>
      <c r="S23" s="160">
        <f t="shared" si="43"/>
        <v>0.17705166406232503</v>
      </c>
      <c r="T23" s="160" t="str">
        <f t="shared" si="34"/>
        <v>1+0.0000066268588744672i</v>
      </c>
      <c r="U23" s="160">
        <f t="shared" si="44"/>
        <v>1.0000000000219575</v>
      </c>
      <c r="V23" s="160">
        <f t="shared" si="45"/>
        <v>6.6268588743701938E-6</v>
      </c>
      <c r="W23" s="98" t="str">
        <f t="shared" si="35"/>
        <v>1-0.0000526388790028601i</v>
      </c>
      <c r="X23" s="160">
        <f t="shared" si="46"/>
        <v>1.0000000013854258</v>
      </c>
      <c r="Y23" s="160">
        <f t="shared" si="47"/>
        <v>-5.2638878954241929E-5</v>
      </c>
      <c r="Z23" s="98" t="str">
        <f t="shared" si="36"/>
        <v>0.999999997457037+0.000101535382022929i</v>
      </c>
      <c r="AA23" s="160">
        <f t="shared" si="48"/>
        <v>1.0000000026117539</v>
      </c>
      <c r="AB23" s="160">
        <f t="shared" si="49"/>
        <v>1.0153538193220563E-4</v>
      </c>
      <c r="AC23" s="171" t="str">
        <f t="shared" si="50"/>
        <v>105.373671425432-18.8700499196533i</v>
      </c>
      <c r="AD23" s="190">
        <f t="shared" si="51"/>
        <v>40.59172847320032</v>
      </c>
      <c r="AE23" s="169">
        <f t="shared" si="52"/>
        <v>-10.152766949952747</v>
      </c>
      <c r="AF23" s="98" t="str">
        <f t="shared" si="37"/>
        <v>-0.0000366300366300366</v>
      </c>
      <c r="AG23" s="98" t="str">
        <f t="shared" si="38"/>
        <v>4.86439640785357E-06i</v>
      </c>
      <c r="AH23" s="98">
        <f t="shared" si="53"/>
        <v>4.8643964078535701E-6</v>
      </c>
      <c r="AI23" s="98">
        <f t="shared" si="54"/>
        <v>1.5707963267948966</v>
      </c>
      <c r="AJ23" s="98" t="str">
        <f t="shared" si="39"/>
        <v>1+0.000694767812925947i</v>
      </c>
      <c r="AK23" s="98">
        <f t="shared" si="55"/>
        <v>1.0000002413511277</v>
      </c>
      <c r="AL23" s="98">
        <f t="shared" si="56"/>
        <v>6.947677011373024E-4</v>
      </c>
      <c r="AM23" s="98" t="str">
        <f t="shared" si="40"/>
        <v>1+0.0479389790918902i</v>
      </c>
      <c r="AN23" s="98">
        <f t="shared" si="57"/>
        <v>1.0011484134314814</v>
      </c>
      <c r="AO23" s="98">
        <f t="shared" si="58"/>
        <v>4.7902306060124425E-2</v>
      </c>
      <c r="AP23" s="168" t="str">
        <f t="shared" si="59"/>
        <v>-0.355759730347656+7.53047981569695i</v>
      </c>
      <c r="AQ23" s="98">
        <f t="shared" si="60"/>
        <v>17.546135049927003</v>
      </c>
      <c r="AR23" s="169">
        <f t="shared" si="61"/>
        <v>92.704792709171898</v>
      </c>
      <c r="AS23" s="168" t="str">
        <f t="shared" si="62"/>
        <v>104.612821109089+800.227509646161i</v>
      </c>
      <c r="AT23" s="190">
        <f t="shared" si="63"/>
        <v>58.137863523127329</v>
      </c>
      <c r="AU23" s="169">
        <f t="shared" si="64"/>
        <v>82.552025759219148</v>
      </c>
      <c r="AV23" s="225"/>
      <c r="AX23">
        <f t="shared" si="65"/>
        <v>0</v>
      </c>
      <c r="AY23">
        <f t="shared" si="66"/>
        <v>0</v>
      </c>
    </row>
    <row r="24" spans="1:51" x14ac:dyDescent="0.3">
      <c r="A24" s="98" t="s">
        <v>208</v>
      </c>
      <c r="B24" s="205">
        <f>Lm</f>
        <v>5.5999999999999999E-5</v>
      </c>
      <c r="C24" s="98" t="s">
        <v>98</v>
      </c>
      <c r="E24" s="98" t="s">
        <v>209</v>
      </c>
      <c r="N24" s="170">
        <v>6</v>
      </c>
      <c r="O24" s="199">
        <f t="shared" si="41"/>
        <v>11.481536214968834</v>
      </c>
      <c r="P24" s="189" t="str">
        <f t="shared" si="32"/>
        <v>108.75</v>
      </c>
      <c r="Q24" s="160" t="str">
        <f t="shared" si="33"/>
        <v>1+0.183092892671046i</v>
      </c>
      <c r="R24" s="160">
        <f t="shared" si="42"/>
        <v>1.0166233360230579</v>
      </c>
      <c r="S24" s="160">
        <f t="shared" si="43"/>
        <v>0.18108714250544877</v>
      </c>
      <c r="T24" s="160" t="str">
        <f t="shared" si="34"/>
        <v>1+6.78121824707581E-06i</v>
      </c>
      <c r="U24" s="160">
        <f t="shared" si="44"/>
        <v>1.0000000000229925</v>
      </c>
      <c r="V24" s="160">
        <f t="shared" si="45"/>
        <v>6.7812182469718652E-6</v>
      </c>
      <c r="W24" s="98" t="str">
        <f t="shared" si="35"/>
        <v>1-0.0000538649960051412i</v>
      </c>
      <c r="X24" s="160">
        <f t="shared" si="46"/>
        <v>1.0000000014507189</v>
      </c>
      <c r="Y24" s="160">
        <f t="shared" si="47"/>
        <v>-5.386499595304589E-5</v>
      </c>
      <c r="Z24" s="98" t="str">
        <f t="shared" si="36"/>
        <v>0.999999997337191+0.000103900444892612i</v>
      </c>
      <c r="AA24" s="160">
        <f t="shared" si="48"/>
        <v>1.0000000027348421</v>
      </c>
      <c r="AB24" s="160">
        <f t="shared" si="49"/>
        <v>1.0390044479540013E-4</v>
      </c>
      <c r="AC24" s="171" t="str">
        <f t="shared" si="50"/>
        <v>105.219711172656-19.2814008187275i</v>
      </c>
      <c r="AD24" s="190">
        <f t="shared" si="51"/>
        <v>40.585383812193342</v>
      </c>
      <c r="AE24" s="169">
        <f t="shared" si="52"/>
        <v>-10.384179748368705</v>
      </c>
      <c r="AF24" s="98" t="str">
        <f t="shared" si="37"/>
        <v>-0.0000366300366300366</v>
      </c>
      <c r="AG24" s="98" t="str">
        <f t="shared" si="38"/>
        <v>4.97770275583223E-06i</v>
      </c>
      <c r="AH24" s="98">
        <f t="shared" si="53"/>
        <v>4.9777027558322299E-6</v>
      </c>
      <c r="AI24" s="98">
        <f t="shared" si="54"/>
        <v>1.5707963267948966</v>
      </c>
      <c r="AJ24" s="98" t="str">
        <f t="shared" si="39"/>
        <v>1+0.000710951034229347i</v>
      </c>
      <c r="AK24" s="98">
        <f t="shared" si="55"/>
        <v>1.0000002527256546</v>
      </c>
      <c r="AL24" s="98">
        <f t="shared" si="56"/>
        <v>7.1095091444565788E-4</v>
      </c>
      <c r="AM24" s="98" t="str">
        <f t="shared" si="40"/>
        <v>1+0.0490556213618248i</v>
      </c>
      <c r="AN24" s="98">
        <f t="shared" si="57"/>
        <v>1.0012025039856796</v>
      </c>
      <c r="AO24" s="98">
        <f t="shared" si="58"/>
        <v>4.9016328048896891E-2</v>
      </c>
      <c r="AP24" s="168" t="str">
        <f t="shared" si="59"/>
        <v>-0.355759722254461+7.35907655117362i</v>
      </c>
      <c r="AQ24" s="98">
        <f t="shared" si="60"/>
        <v>17.346604224102467</v>
      </c>
      <c r="AR24" s="169">
        <f t="shared" si="61"/>
        <v>92.767694237591812</v>
      </c>
      <c r="AS24" s="168" t="str">
        <f t="shared" si="62"/>
        <v>104.460369416399+781.179455011901i</v>
      </c>
      <c r="AT24" s="190">
        <f t="shared" si="63"/>
        <v>57.931988036295799</v>
      </c>
      <c r="AU24" s="169">
        <f t="shared" si="64"/>
        <v>82.383514489223089</v>
      </c>
      <c r="AV24" s="225"/>
      <c r="AX24">
        <f t="shared" si="65"/>
        <v>0</v>
      </c>
      <c r="AY24">
        <f t="shared" si="66"/>
        <v>0</v>
      </c>
    </row>
    <row r="25" spans="1:51" x14ac:dyDescent="0.3">
      <c r="N25" s="170">
        <v>7</v>
      </c>
      <c r="O25" s="199">
        <f t="shared" si="41"/>
        <v>11.748975549395301</v>
      </c>
      <c r="P25" s="189" t="str">
        <f t="shared" si="32"/>
        <v>108.75</v>
      </c>
      <c r="Q25" s="160" t="str">
        <f t="shared" si="33"/>
        <v>1+0.187357674006694i</v>
      </c>
      <c r="R25" s="160">
        <f t="shared" si="42"/>
        <v>1.0174000678244515</v>
      </c>
      <c r="S25" s="160">
        <f t="shared" si="43"/>
        <v>0.18521045417162021</v>
      </c>
      <c r="T25" s="160" t="str">
        <f t="shared" si="34"/>
        <v>1+6.93917311135906E-06i</v>
      </c>
      <c r="U25" s="160">
        <f t="shared" si="44"/>
        <v>1.0000000000240761</v>
      </c>
      <c r="V25" s="160">
        <f t="shared" si="45"/>
        <v>6.9391731112476809E-6</v>
      </c>
      <c r="W25" s="98" t="str">
        <f t="shared" si="35"/>
        <v>1-0.0000551196729412919i</v>
      </c>
      <c r="X25" s="160">
        <f t="shared" si="46"/>
        <v>1.0000000015190891</v>
      </c>
      <c r="Y25" s="160">
        <f t="shared" si="47"/>
        <v>-5.5119672885470771E-5</v>
      </c>
      <c r="Z25" s="98" t="str">
        <f t="shared" si="36"/>
        <v>0.999999997211697+0.000106320597153463i</v>
      </c>
      <c r="AA25" s="160">
        <f t="shared" si="48"/>
        <v>1.0000000028637315</v>
      </c>
      <c r="AB25" s="160">
        <f t="shared" si="49"/>
        <v>1.0632059704929858E-4</v>
      </c>
      <c r="AC25" s="171" t="str">
        <f t="shared" si="50"/>
        <v>105.058976054483-19.7004073812834i</v>
      </c>
      <c r="AD25" s="190">
        <f t="shared" si="51"/>
        <v>40.578750056116064</v>
      </c>
      <c r="AE25" s="169">
        <f t="shared" si="52"/>
        <v>-10.620629606513109</v>
      </c>
      <c r="AF25" s="98" t="str">
        <f t="shared" si="37"/>
        <v>-0.0000366300366300366</v>
      </c>
      <c r="AG25" s="98" t="str">
        <f t="shared" si="38"/>
        <v>5.09364834769972E-06i</v>
      </c>
      <c r="AH25" s="98">
        <f t="shared" si="53"/>
        <v>5.0936483476997203E-6</v>
      </c>
      <c r="AI25" s="98">
        <f t="shared" si="54"/>
        <v>1.5707963267948966</v>
      </c>
      <c r="AJ25" s="98" t="str">
        <f t="shared" si="39"/>
        <v>1+0.000727511211181646i</v>
      </c>
      <c r="AK25" s="98">
        <f t="shared" si="55"/>
        <v>1.0000002646362462</v>
      </c>
      <c r="AL25" s="98">
        <f t="shared" si="56"/>
        <v>7.2751108283111243E-4</v>
      </c>
      <c r="AM25" s="98" t="str">
        <f t="shared" si="40"/>
        <v>1+0.0501982735715334i</v>
      </c>
      <c r="AN25" s="98">
        <f t="shared" si="57"/>
        <v>1.0012591406172342</v>
      </c>
      <c r="AO25" s="98">
        <f t="shared" si="58"/>
        <v>5.0156172887278361E-2</v>
      </c>
      <c r="AP25" s="168" t="str">
        <f t="shared" si="59"/>
        <v>-0.355759713779846+7.19157516644611i</v>
      </c>
      <c r="AQ25" s="98">
        <f t="shared" si="60"/>
        <v>17.147095455433917</v>
      </c>
      <c r="AR25" s="169">
        <f t="shared" si="61"/>
        <v>92.832053708374318</v>
      </c>
      <c r="AS25" s="168" t="str">
        <f t="shared" si="62"/>
        <v>104.301209240963+762.548134496988i</v>
      </c>
      <c r="AT25" s="190">
        <f t="shared" si="63"/>
        <v>57.725845511549984</v>
      </c>
      <c r="AU25" s="169">
        <f t="shared" si="64"/>
        <v>82.211424101861198</v>
      </c>
      <c r="AV25" s="225"/>
      <c r="AX25">
        <f t="shared" si="65"/>
        <v>0</v>
      </c>
      <c r="AY25">
        <f t="shared" si="66"/>
        <v>0</v>
      </c>
    </row>
    <row r="26" spans="1:51" x14ac:dyDescent="0.3">
      <c r="A26" s="98" t="s">
        <v>160</v>
      </c>
      <c r="B26" s="205">
        <f>R_cs</f>
        <v>0.06</v>
      </c>
      <c r="C26" s="206" t="s">
        <v>36</v>
      </c>
      <c r="E26" s="98" t="s">
        <v>210</v>
      </c>
      <c r="N26" s="170">
        <v>8</v>
      </c>
      <c r="O26" s="199">
        <f t="shared" si="41"/>
        <v>12.022644346174133</v>
      </c>
      <c r="P26" s="189" t="str">
        <f t="shared" si="32"/>
        <v>108.75</v>
      </c>
      <c r="Q26" s="160" t="str">
        <f t="shared" si="33"/>
        <v>1+0.191721794861072i</v>
      </c>
      <c r="R26" s="160">
        <f t="shared" si="42"/>
        <v>1.0182127708022282</v>
      </c>
      <c r="S26" s="160">
        <f t="shared" si="43"/>
        <v>0.18942322419434746</v>
      </c>
      <c r="T26" s="160" t="str">
        <f t="shared" si="34"/>
        <v>1+7.10080721707675E-06i</v>
      </c>
      <c r="U26" s="160">
        <f t="shared" si="44"/>
        <v>1.0000000000252107</v>
      </c>
      <c r="V26" s="160">
        <f t="shared" si="45"/>
        <v>7.1008072169574053E-6</v>
      </c>
      <c r="W26" s="98" t="str">
        <f t="shared" si="35"/>
        <v>1-0.000056403575057631i</v>
      </c>
      <c r="X26" s="160">
        <f t="shared" si="46"/>
        <v>1.0000000015906816</v>
      </c>
      <c r="Y26" s="160">
        <f t="shared" si="47"/>
        <v>-5.6403574997817577E-5</v>
      </c>
      <c r="Z26" s="98" t="str">
        <f t="shared" si="36"/>
        <v>0.999999997080288+0.000108797122002244i</v>
      </c>
      <c r="AA26" s="160">
        <f t="shared" si="48"/>
        <v>1.0000000029986948</v>
      </c>
      <c r="AB26" s="160">
        <f t="shared" si="49"/>
        <v>1.0879712189062983E-4</v>
      </c>
      <c r="AC26" s="171" t="str">
        <f t="shared" si="50"/>
        <v>104.891190779832-20.1271207243309i</v>
      </c>
      <c r="AD26" s="190">
        <f t="shared" si="51"/>
        <v>40.571814504163619</v>
      </c>
      <c r="AE26" s="169">
        <f t="shared" si="52"/>
        <v>-10.862209744516159</v>
      </c>
      <c r="AF26" s="98" t="str">
        <f t="shared" si="37"/>
        <v>-0.0000366300366300366</v>
      </c>
      <c r="AG26" s="98" t="str">
        <f t="shared" si="38"/>
        <v>5.21229465934357E-06i</v>
      </c>
      <c r="AH26" s="98">
        <f t="shared" si="53"/>
        <v>5.2122946593435704E-6</v>
      </c>
      <c r="AI26" s="98">
        <f t="shared" si="54"/>
        <v>1.5707963267948966</v>
      </c>
      <c r="AJ26" s="98" t="str">
        <f t="shared" si="39"/>
        <v>1+0.000744457124207861i</v>
      </c>
      <c r="AK26" s="98">
        <f t="shared" si="55"/>
        <v>1.0000002771081666</v>
      </c>
      <c r="AL26" s="98">
        <f t="shared" si="56"/>
        <v>7.4445698667778852E-4</v>
      </c>
      <c r="AM26" s="98" t="str">
        <f t="shared" si="40"/>
        <v>1+0.0513675415703423i</v>
      </c>
      <c r="AN26" s="98">
        <f t="shared" si="57"/>
        <v>1.0013184430174953</v>
      </c>
      <c r="AO26" s="98">
        <f t="shared" si="58"/>
        <v>5.1322433081847203E-2</v>
      </c>
      <c r="AP26" s="168" t="str">
        <f t="shared" si="59"/>
        <v>-0.355759704905834+7.02788685006296i</v>
      </c>
      <c r="AQ26" s="98">
        <f t="shared" si="60"/>
        <v>16.947609778213668</v>
      </c>
      <c r="AR26" s="169">
        <f t="shared" si="61"/>
        <v>92.89790456656678</v>
      </c>
      <c r="AS26" s="168" t="str">
        <f t="shared" si="62"/>
        <v>104.1350679891+744.323838898519i</v>
      </c>
      <c r="AT26" s="190">
        <f t="shared" si="63"/>
        <v>57.519424282377294</v>
      </c>
      <c r="AU26" s="169">
        <f t="shared" si="64"/>
        <v>82.035694822050644</v>
      </c>
      <c r="AV26" s="225"/>
      <c r="AX26">
        <f t="shared" si="65"/>
        <v>0</v>
      </c>
      <c r="AY26">
        <f t="shared" si="66"/>
        <v>0</v>
      </c>
    </row>
    <row r="27" spans="1:51" x14ac:dyDescent="0.3">
      <c r="A27" s="98" t="s">
        <v>161</v>
      </c>
      <c r="B27" s="205">
        <f>R_sl</f>
        <v>0</v>
      </c>
      <c r="C27" s="206" t="s">
        <v>36</v>
      </c>
      <c r="E27" s="98" t="s">
        <v>211</v>
      </c>
      <c r="N27" s="170">
        <v>9</v>
      </c>
      <c r="O27" s="199">
        <f t="shared" si="41"/>
        <v>12.302687708123818</v>
      </c>
      <c r="P27" s="189" t="str">
        <f t="shared" si="32"/>
        <v>108.75</v>
      </c>
      <c r="Q27" s="160" t="str">
        <f t="shared" si="33"/>
        <v>1+0.196187569148823i</v>
      </c>
      <c r="R27" s="160">
        <f t="shared" si="42"/>
        <v>1.0190630806228456</v>
      </c>
      <c r="S27" s="160">
        <f t="shared" si="43"/>
        <v>0.19372708782278347</v>
      </c>
      <c r="T27" s="160" t="str">
        <f t="shared" si="34"/>
        <v>1+7.26620626477125E-06i</v>
      </c>
      <c r="U27" s="160">
        <f t="shared" si="44"/>
        <v>1.0000000000263989</v>
      </c>
      <c r="V27" s="160">
        <f t="shared" si="45"/>
        <v>7.2662062646433696E-6</v>
      </c>
      <c r="W27" s="98" t="str">
        <f t="shared" si="35"/>
        <v>1-0.0000577173830960554i</v>
      </c>
      <c r="X27" s="160">
        <f t="shared" si="46"/>
        <v>1.0000000016656481</v>
      </c>
      <c r="Y27" s="160">
        <f t="shared" si="47"/>
        <v>-5.7717383031964161E-5</v>
      </c>
      <c r="Z27" s="98" t="str">
        <f t="shared" si="36"/>
        <v>0.999999996942686+0.00011133133252521i</v>
      </c>
      <c r="AA27" s="160">
        <f t="shared" si="48"/>
        <v>1.0000000031400189</v>
      </c>
      <c r="AB27" s="160">
        <f t="shared" si="49"/>
        <v>1.1133133240561328E-4</v>
      </c>
      <c r="AC27" s="171" t="str">
        <f t="shared" si="50"/>
        <v>104.716070988208-20.5615852657625i</v>
      </c>
      <c r="AD27" s="190">
        <f t="shared" si="51"/>
        <v>40.564563941349149</v>
      </c>
      <c r="AE27" s="169">
        <f t="shared" si="52"/>
        <v>-11.109013964580411</v>
      </c>
      <c r="AF27" s="98" t="str">
        <f t="shared" si="37"/>
        <v>-0.0000366300366300366</v>
      </c>
      <c r="AG27" s="98" t="str">
        <f t="shared" si="38"/>
        <v>5.33370459860867E-06i</v>
      </c>
      <c r="AH27" s="98">
        <f t="shared" si="53"/>
        <v>5.3337045986086696E-6</v>
      </c>
      <c r="AI27" s="98">
        <f t="shared" si="54"/>
        <v>1.5707963267948966</v>
      </c>
      <c r="AJ27" s="98" t="str">
        <f t="shared" si="39"/>
        <v>1+0.000761797758255388i</v>
      </c>
      <c r="AK27" s="98">
        <f t="shared" si="55"/>
        <v>1.0000002901678702</v>
      </c>
      <c r="AL27" s="98">
        <f t="shared" si="56"/>
        <v>7.6179761088926261E-4</v>
      </c>
      <c r="AM27" s="98" t="str">
        <f t="shared" si="40"/>
        <v>1+0.0525640453196216i</v>
      </c>
      <c r="AN27" s="98">
        <f t="shared" si="57"/>
        <v>1.0013805364896819</v>
      </c>
      <c r="AO27" s="98">
        <f t="shared" si="58"/>
        <v>5.2515714301561336E-2</v>
      </c>
      <c r="AP27" s="168" t="str">
        <f t="shared" si="59"/>
        <v>-0.355759695613604+6.86792481231223i</v>
      </c>
      <c r="AQ27" s="98">
        <f t="shared" si="60"/>
        <v>16.748148274976476</v>
      </c>
      <c r="AR27" s="169">
        <f t="shared" si="61"/>
        <v>92.965280999647177</v>
      </c>
      <c r="AS27" s="168" t="str">
        <f t="shared" si="62"/>
        <v>103.961664086586+726.497085503244i</v>
      </c>
      <c r="AT27" s="190">
        <f t="shared" si="63"/>
        <v>57.312712216325622</v>
      </c>
      <c r="AU27" s="169">
        <f t="shared" si="64"/>
        <v>81.856267035066793</v>
      </c>
      <c r="AV27" s="225"/>
      <c r="AX27">
        <f t="shared" si="65"/>
        <v>0</v>
      </c>
      <c r="AY27">
        <f t="shared" si="66"/>
        <v>0</v>
      </c>
    </row>
    <row r="28" spans="1:51" x14ac:dyDescent="0.3">
      <c r="A28" s="98" t="s">
        <v>146</v>
      </c>
      <c r="B28" s="207">
        <f>Rsl_int</f>
        <v>1333</v>
      </c>
      <c r="C28" s="206" t="s">
        <v>36</v>
      </c>
      <c r="E28" s="98" t="s">
        <v>212</v>
      </c>
      <c r="N28" s="170">
        <v>10</v>
      </c>
      <c r="O28" s="199">
        <f t="shared" si="41"/>
        <v>12.58925411794168</v>
      </c>
      <c r="P28" s="189" t="str">
        <f t="shared" si="32"/>
        <v>108.75</v>
      </c>
      <c r="Q28" s="160" t="str">
        <f t="shared" si="33"/>
        <v>1+0.200757364682587i</v>
      </c>
      <c r="R28" s="160">
        <f t="shared" si="42"/>
        <v>1.0199527045281547</v>
      </c>
      <c r="S28" s="160">
        <f t="shared" si="43"/>
        <v>0.19812368894304477</v>
      </c>
      <c r="T28" s="160" t="str">
        <f t="shared" si="34"/>
        <v>1+7.43545795120694E-06i</v>
      </c>
      <c r="U28" s="160">
        <f t="shared" si="44"/>
        <v>1.000000000027643</v>
      </c>
      <c r="V28" s="160">
        <f t="shared" si="45"/>
        <v>7.4354579510699148E-6</v>
      </c>
      <c r="W28" s="98" t="str">
        <f t="shared" si="35"/>
        <v>1-0.0000590617936549772i</v>
      </c>
      <c r="X28" s="160">
        <f t="shared" si="46"/>
        <v>1.0000000017441477</v>
      </c>
      <c r="Y28" s="160">
        <f t="shared" si="47"/>
        <v>-5.9061793586302198E-5</v>
      </c>
      <c r="Z28" s="98" t="str">
        <f t="shared" si="36"/>
        <v>0.9999999967986+0.000113924572394326i</v>
      </c>
      <c r="AA28" s="160">
        <f t="shared" si="48"/>
        <v>1.0000000032880041</v>
      </c>
      <c r="AB28" s="160">
        <f t="shared" si="49"/>
        <v>1.1392457226617575E-4</v>
      </c>
      <c r="AC28" s="171" t="str">
        <f t="shared" si="50"/>
        <v>104.533323151922-21.0038381386179i</v>
      </c>
      <c r="AD28" s="190">
        <f t="shared" si="51"/>
        <v>40.556984621746281</v>
      </c>
      <c r="AE28" s="169">
        <f t="shared" si="52"/>
        <v>-11.361136566316528</v>
      </c>
      <c r="AF28" s="98" t="str">
        <f t="shared" si="37"/>
        <v>-0.0000366300366300366</v>
      </c>
      <c r="AG28" s="98" t="str">
        <f t="shared" si="38"/>
        <v>5.45794253865189E-06i</v>
      </c>
      <c r="AH28" s="98">
        <f t="shared" si="53"/>
        <v>5.4579425386518899E-6</v>
      </c>
      <c r="AI28" s="98">
        <f t="shared" si="54"/>
        <v>1.5707963267948966</v>
      </c>
      <c r="AJ28" s="98" t="str">
        <f t="shared" si="39"/>
        <v>1+0.000779542307557927i</v>
      </c>
      <c r="AK28" s="98">
        <f t="shared" si="55"/>
        <v>1.0000003038430585</v>
      </c>
      <c r="AL28" s="98">
        <f t="shared" si="56"/>
        <v>7.7954214965228127E-4</v>
      </c>
      <c r="AM28" s="98" t="str">
        <f t="shared" si="40"/>
        <v>1+0.0537884192214968i</v>
      </c>
      <c r="AN28" s="98">
        <f t="shared" si="57"/>
        <v>1.001445552210577</v>
      </c>
      <c r="AO28" s="98">
        <f t="shared" si="58"/>
        <v>5.3736635639109416E-2</v>
      </c>
      <c r="AP28" s="168" t="str">
        <f t="shared" si="59"/>
        <v>-0.355759685883446+6.71160423920402i</v>
      </c>
      <c r="AQ28" s="98">
        <f t="shared" si="60"/>
        <v>16.548712078724417</v>
      </c>
      <c r="AR28" s="169">
        <f t="shared" si="61"/>
        <v>93.034217952225617</v>
      </c>
      <c r="AS28" s="168" t="str">
        <f t="shared" si="62"/>
        <v>103.780706881822+709.058613663065i</v>
      </c>
      <c r="AT28" s="190">
        <f t="shared" si="63"/>
        <v>57.105696700470688</v>
      </c>
      <c r="AU28" s="169">
        <f t="shared" si="64"/>
        <v>81.673081385909128</v>
      </c>
      <c r="AV28" s="225"/>
      <c r="AX28">
        <f t="shared" si="65"/>
        <v>0</v>
      </c>
      <c r="AY28">
        <f t="shared" si="66"/>
        <v>0</v>
      </c>
    </row>
    <row r="29" spans="1:51" x14ac:dyDescent="0.3">
      <c r="A29" s="98" t="s">
        <v>144</v>
      </c>
      <c r="B29" s="207">
        <f>Isl</f>
        <v>2.9999999999999997E-5</v>
      </c>
      <c r="C29" s="206" t="s">
        <v>11</v>
      </c>
      <c r="E29" s="98" t="s">
        <v>213</v>
      </c>
      <c r="N29" s="170">
        <v>11</v>
      </c>
      <c r="O29" s="199">
        <f t="shared" si="41"/>
        <v>12.882495516931346</v>
      </c>
      <c r="P29" s="189" t="str">
        <f t="shared" si="32"/>
        <v>108.75</v>
      </c>
      <c r="Q29" s="160" t="str">
        <f t="shared" si="33"/>
        <v>1+0.205433604428443i</v>
      </c>
      <c r="R29" s="160">
        <f t="shared" si="42"/>
        <v>1.020883424210846</v>
      </c>
      <c r="S29" s="160">
        <f t="shared" si="43"/>
        <v>0.20261467847244191</v>
      </c>
      <c r="T29" s="160" t="str">
        <f t="shared" si="34"/>
        <v>1+7.60865201586827E-06i</v>
      </c>
      <c r="U29" s="160">
        <f t="shared" si="44"/>
        <v>1.0000000000289457</v>
      </c>
      <c r="V29" s="160">
        <f t="shared" si="45"/>
        <v>7.6086520157214448E-6</v>
      </c>
      <c r="W29" s="98" t="str">
        <f t="shared" si="35"/>
        <v>1-0.00006043751955867i</v>
      </c>
      <c r="X29" s="160">
        <f t="shared" si="46"/>
        <v>1.0000000018263469</v>
      </c>
      <c r="Y29" s="160">
        <f t="shared" si="47"/>
        <v>-6.043751948508342E-5</v>
      </c>
      <c r="Z29" s="98" t="str">
        <f t="shared" si="36"/>
        <v>0.999999996647722+0.000116578216579695i</v>
      </c>
      <c r="AA29" s="160">
        <f t="shared" si="48"/>
        <v>1.0000000034429624</v>
      </c>
      <c r="AB29" s="160">
        <f t="shared" si="49"/>
        <v>1.165782164423796E-4</v>
      </c>
      <c r="AC29" s="171" t="str">
        <f t="shared" si="50"/>
        <v>104.342644499141-21.4539085753122i</v>
      </c>
      <c r="AD29" s="190">
        <f t="shared" si="51"/>
        <v>40.549062251568898</v>
      </c>
      <c r="AE29" s="169">
        <f t="shared" si="52"/>
        <v>-11.618672254798852</v>
      </c>
      <c r="AF29" s="98" t="str">
        <f t="shared" si="37"/>
        <v>-0.0000366300366300366</v>
      </c>
      <c r="AG29" s="98" t="str">
        <f t="shared" si="38"/>
        <v>0.0000055850743520735i</v>
      </c>
      <c r="AH29" s="98">
        <f t="shared" si="53"/>
        <v>5.5850743520734998E-6</v>
      </c>
      <c r="AI29" s="98">
        <f t="shared" si="54"/>
        <v>1.5707963267948966</v>
      </c>
      <c r="AJ29" s="98" t="str">
        <f t="shared" si="39"/>
        <v>1+0.000797700180510394i</v>
      </c>
      <c r="AK29" s="98">
        <f t="shared" si="55"/>
        <v>1.0000003181627384</v>
      </c>
      <c r="AL29" s="98">
        <f t="shared" si="56"/>
        <v>7.977000113114491E-4</v>
      </c>
      <c r="AM29" s="98" t="str">
        <f t="shared" si="40"/>
        <v>1+0.055041312455217i</v>
      </c>
      <c r="AN29" s="98">
        <f t="shared" si="57"/>
        <v>1.0015136275042855</v>
      </c>
      <c r="AO29" s="98">
        <f t="shared" si="58"/>
        <v>5.4985829875168729E-2</v>
      </c>
      <c r="AP29" s="168" t="str">
        <f t="shared" si="59"/>
        <v>-0.35575967569472+6.55884224750131i</v>
      </c>
      <c r="AQ29" s="98">
        <f t="shared" si="60"/>
        <v>16.349302375252968</v>
      </c>
      <c r="AR29" s="169">
        <f t="shared" si="61"/>
        <v>93.104751140905847</v>
      </c>
      <c r="AS29" s="168" t="str">
        <f t="shared" si="62"/>
        <v>103.591896569644+691.999380514113i</v>
      </c>
      <c r="AT29" s="190">
        <f t="shared" si="63"/>
        <v>56.898364626821859</v>
      </c>
      <c r="AU29" s="169">
        <f t="shared" si="64"/>
        <v>81.486078886107023</v>
      </c>
      <c r="AV29" s="225"/>
      <c r="AX29">
        <f t="shared" si="65"/>
        <v>0</v>
      </c>
      <c r="AY29">
        <f t="shared" si="66"/>
        <v>0</v>
      </c>
    </row>
    <row r="30" spans="1:51" x14ac:dyDescent="0.3">
      <c r="C30" s="206"/>
      <c r="N30" s="170">
        <v>12</v>
      </c>
      <c r="O30" s="199">
        <f t="shared" si="41"/>
        <v>13.182567385564075</v>
      </c>
      <c r="P30" s="189" t="str">
        <f t="shared" si="32"/>
        <v>108.75</v>
      </c>
      <c r="Q30" s="160" t="str">
        <f t="shared" si="33"/>
        <v>1+0.210218767790602i</v>
      </c>
      <c r="R30" s="160">
        <f t="shared" si="42"/>
        <v>1.0218570987821141</v>
      </c>
      <c r="S30" s="160">
        <f t="shared" si="43"/>
        <v>0.20720171262022957</v>
      </c>
      <c r="T30" s="160" t="str">
        <f t="shared" si="34"/>
        <v>1+7.78588028854083E-06i</v>
      </c>
      <c r="U30" s="160">
        <f t="shared" si="44"/>
        <v>1.00000000003031</v>
      </c>
      <c r="V30" s="160">
        <f t="shared" si="45"/>
        <v>7.7858802883835034E-6</v>
      </c>
      <c r="W30" s="98" t="str">
        <f t="shared" si="35"/>
        <v>1-0.000061845290235218i</v>
      </c>
      <c r="X30" s="160">
        <f t="shared" si="46"/>
        <v>1.00000000191242</v>
      </c>
      <c r="Y30" s="160">
        <f t="shared" si="47"/>
        <v>-6.1845290156368552E-5</v>
      </c>
      <c r="Z30" s="98" t="str">
        <f t="shared" si="36"/>
        <v>0.999999996489734+0.00011929367207859i</v>
      </c>
      <c r="AA30" s="160">
        <f t="shared" si="48"/>
        <v>1.0000000036052241</v>
      </c>
      <c r="AB30" s="160">
        <f t="shared" si="49"/>
        <v>1.1929367193145389E-4</v>
      </c>
      <c r="AC30" s="171" t="str">
        <f t="shared" si="50"/>
        <v>104.143722960423-21.9118172613859i</v>
      </c>
      <c r="AD30" s="190">
        <f t="shared" si="51"/>
        <v>40.540781972131995</v>
      </c>
      <c r="AE30" s="169">
        <f t="shared" si="52"/>
        <v>-11.881716040974428</v>
      </c>
      <c r="AF30" s="98" t="str">
        <f t="shared" si="37"/>
        <v>-0.0000366300366300366</v>
      </c>
      <c r="AG30" s="98" t="str">
        <f t="shared" si="38"/>
        <v>5.71516744584379E-06i</v>
      </c>
      <c r="AH30" s="98">
        <f t="shared" si="53"/>
        <v>5.71516744584379E-6</v>
      </c>
      <c r="AI30" s="98">
        <f t="shared" si="54"/>
        <v>1.5707963267948966</v>
      </c>
      <c r="AJ30" s="98" t="str">
        <f t="shared" si="39"/>
        <v>1+0.000816281004657379i</v>
      </c>
      <c r="AK30" s="98">
        <f t="shared" si="55"/>
        <v>1.0000003331572838</v>
      </c>
      <c r="AL30" s="98">
        <f t="shared" si="56"/>
        <v>8.1628082335744631E-4</v>
      </c>
      <c r="AM30" s="98" t="str">
        <f t="shared" si="40"/>
        <v>1+0.056323389321359i</v>
      </c>
      <c r="AN30" s="98">
        <f t="shared" si="57"/>
        <v>1.0015849061286044</v>
      </c>
      <c r="AO30" s="98">
        <f t="shared" si="58"/>
        <v>5.6263943745417773E-2</v>
      </c>
      <c r="AP30" s="168" t="str">
        <f t="shared" si="59"/>
        <v>-0.355759665025814+6.40955784077399i</v>
      </c>
      <c r="AQ30" s="98">
        <f t="shared" si="60"/>
        <v>16.149920405581021</v>
      </c>
      <c r="AR30" s="169">
        <f t="shared" si="61"/>
        <v>93.176917069298085</v>
      </c>
      <c r="AS30" s="168" t="str">
        <f t="shared" si="62"/>
        <v>103.394924138382+675.310556837391i</v>
      </c>
      <c r="AT30" s="190">
        <f t="shared" si="63"/>
        <v>56.690702377713009</v>
      </c>
      <c r="AU30" s="169">
        <f t="shared" si="64"/>
        <v>81.295201028323632</v>
      </c>
      <c r="AV30" s="225"/>
      <c r="AX30">
        <f t="shared" si="65"/>
        <v>0</v>
      </c>
      <c r="AY30">
        <f t="shared" si="66"/>
        <v>0</v>
      </c>
    </row>
    <row r="31" spans="1:51" x14ac:dyDescent="0.3">
      <c r="A31" s="98" t="s">
        <v>236</v>
      </c>
      <c r="B31" s="207">
        <f>Gcomp</f>
        <v>0.14499999999999999</v>
      </c>
      <c r="C31" s="206"/>
      <c r="E31" s="98" t="s">
        <v>237</v>
      </c>
      <c r="N31" s="170">
        <v>13</v>
      </c>
      <c r="O31" s="199">
        <f t="shared" si="41"/>
        <v>13.489628825916535</v>
      </c>
      <c r="P31" s="189" t="str">
        <f t="shared" si="32"/>
        <v>108.75</v>
      </c>
      <c r="Q31" s="160" t="str">
        <f t="shared" si="33"/>
        <v>1+0.215115391926018i</v>
      </c>
      <c r="R31" s="160">
        <f t="shared" si="42"/>
        <v>1.0228756678323541</v>
      </c>
      <c r="S31" s="160">
        <f t="shared" si="43"/>
        <v>0.21188645100837755</v>
      </c>
      <c r="T31" s="160" t="str">
        <f t="shared" si="34"/>
        <v>1+7.96723673800069E-06i</v>
      </c>
      <c r="U31" s="160">
        <f t="shared" si="44"/>
        <v>1.0000000000317384</v>
      </c>
      <c r="V31" s="160">
        <f t="shared" si="45"/>
        <v>7.9672367378321119E-6</v>
      </c>
      <c r="W31" s="98" t="str">
        <f t="shared" si="35"/>
        <v>1-0.000063285852103268i</v>
      </c>
      <c r="X31" s="160">
        <f t="shared" si="46"/>
        <v>1.0000000020025495</v>
      </c>
      <c r="Y31" s="160">
        <f t="shared" si="47"/>
        <v>-6.3285852018779302E-5</v>
      </c>
      <c r="Z31" s="98" t="str">
        <f t="shared" si="36"/>
        <v>0.999999996324301+0.000122072378661459i</v>
      </c>
      <c r="AA31" s="160">
        <f t="shared" si="48"/>
        <v>1.0000000037751338</v>
      </c>
      <c r="AB31" s="160">
        <f t="shared" si="49"/>
        <v>1.2207237850379973E-4</v>
      </c>
      <c r="AC31" s="171" t="str">
        <f t="shared" si="50"/>
        <v>103.936237141512-22.3775756584513i</v>
      </c>
      <c r="AD31" s="190">
        <f t="shared" si="51"/>
        <v>40.53212834273733</v>
      </c>
      <c r="AE31" s="169">
        <f t="shared" si="52"/>
        <v>-12.150363134053052</v>
      </c>
      <c r="AF31" s="98" t="str">
        <f t="shared" si="37"/>
        <v>-0.0000366300366300366</v>
      </c>
      <c r="AG31" s="98" t="str">
        <f t="shared" si="38"/>
        <v>5.84829079704304E-06i</v>
      </c>
      <c r="AH31" s="98">
        <f t="shared" si="53"/>
        <v>5.8482907970430402E-6</v>
      </c>
      <c r="AI31" s="98">
        <f t="shared" si="54"/>
        <v>1.5707963267948966</v>
      </c>
      <c r="AJ31" s="98" t="str">
        <f t="shared" si="39"/>
        <v>1+0.000835294631797789i</v>
      </c>
      <c r="AK31" s="98">
        <f t="shared" si="55"/>
        <v>1.0000003488585001</v>
      </c>
      <c r="AL31" s="98">
        <f t="shared" si="56"/>
        <v>8.3529443753141484E-4</v>
      </c>
      <c r="AM31" s="98" t="str">
        <f t="shared" si="40"/>
        <v>1+0.0576353295940473i</v>
      </c>
      <c r="AN31" s="98">
        <f t="shared" si="57"/>
        <v>1.001659538574567</v>
      </c>
      <c r="AO31" s="98">
        <f t="shared" si="58"/>
        <v>5.7571638210129103E-2</v>
      </c>
      <c r="AP31" s="168" t="str">
        <f t="shared" si="59"/>
        <v>-0.355759653854099+6.26367186645358i</v>
      </c>
      <c r="AQ31" s="98">
        <f t="shared" si="60"/>
        <v>15.950567468490252</v>
      </c>
      <c r="AR31" s="169">
        <f t="shared" si="61"/>
        <v>93.250753043173191</v>
      </c>
      <c r="AS31" s="168" t="str">
        <f t="shared" si="62"/>
        <v>103.189471342916+658.983523058681i</v>
      </c>
      <c r="AT31" s="190">
        <f t="shared" si="63"/>
        <v>56.482695811227586</v>
      </c>
      <c r="AU31" s="169">
        <f t="shared" si="64"/>
        <v>81.100389909120153</v>
      </c>
      <c r="AV31" s="225"/>
      <c r="AX31">
        <f t="shared" si="65"/>
        <v>0</v>
      </c>
      <c r="AY31">
        <f t="shared" si="66"/>
        <v>0</v>
      </c>
    </row>
    <row r="32" spans="1:51" x14ac:dyDescent="0.3">
      <c r="N32" s="170">
        <v>14</v>
      </c>
      <c r="O32" s="199">
        <f t="shared" si="41"/>
        <v>13.803842646028857</v>
      </c>
      <c r="P32" s="189" t="str">
        <f t="shared" si="32"/>
        <v>108.75</v>
      </c>
      <c r="Q32" s="160" t="str">
        <f t="shared" si="33"/>
        <v>1+0.220126073089622i</v>
      </c>
      <c r="R32" s="160">
        <f t="shared" si="42"/>
        <v>1.0239411545854857</v>
      </c>
      <c r="S32" s="160">
        <f t="shared" si="43"/>
        <v>0.21667055464583357</v>
      </c>
      <c r="T32" s="160" t="str">
        <f t="shared" si="34"/>
        <v>1+8.15281752183789E-06i</v>
      </c>
      <c r="U32" s="160">
        <f t="shared" si="44"/>
        <v>1.0000000000332343</v>
      </c>
      <c r="V32" s="160">
        <f t="shared" si="45"/>
        <v>8.1528175216572557E-6</v>
      </c>
      <c r="W32" s="98" t="str">
        <f t="shared" si="35"/>
        <v>1-0.0000647599689677903i</v>
      </c>
      <c r="X32" s="160">
        <f t="shared" si="46"/>
        <v>1.0000000020969266</v>
      </c>
      <c r="Y32" s="160">
        <f t="shared" si="47"/>
        <v>-6.4759968877259029E-5</v>
      </c>
      <c r="Z32" s="98" t="str">
        <f t="shared" si="36"/>
        <v>0.99999999615107+0.000124915809635314i</v>
      </c>
      <c r="AA32" s="160">
        <f t="shared" si="48"/>
        <v>1.0000000039530497</v>
      </c>
      <c r="AB32" s="160">
        <f t="shared" si="49"/>
        <v>1.2491580946637912E-4</v>
      </c>
      <c r="AC32" s="171" t="str">
        <f t="shared" si="50"/>
        <v>103.719856325383-22.8511852961713i</v>
      </c>
      <c r="AD32" s="190">
        <f t="shared" si="51"/>
        <v>40.523085323535611</v>
      </c>
      <c r="AE32" s="169">
        <f t="shared" si="52"/>
        <v>-12.424708825504725</v>
      </c>
      <c r="AF32" s="98" t="str">
        <f t="shared" si="37"/>
        <v>-0.0000366300366300366</v>
      </c>
      <c r="AG32" s="98" t="str">
        <f t="shared" si="38"/>
        <v>5.98451498943418E-06i</v>
      </c>
      <c r="AH32" s="98">
        <f t="shared" si="53"/>
        <v>5.9845149894341799E-6</v>
      </c>
      <c r="AI32" s="98">
        <f t="shared" si="54"/>
        <v>1.5707963267948966</v>
      </c>
      <c r="AJ32" s="98" t="str">
        <f t="shared" si="39"/>
        <v>1+0.000854751143208411i</v>
      </c>
      <c r="AK32" s="98">
        <f t="shared" si="55"/>
        <v>1.0000003652996918</v>
      </c>
      <c r="AL32" s="98">
        <f t="shared" si="56"/>
        <v>8.5475093504824482E-4</v>
      </c>
      <c r="AM32" s="98" t="str">
        <f t="shared" si="40"/>
        <v>1+0.0589778288813802i</v>
      </c>
      <c r="AN32" s="98">
        <f t="shared" si="57"/>
        <v>1.0017376823797541</v>
      </c>
      <c r="AO32" s="98">
        <f t="shared" si="58"/>
        <v>5.8909588726154399E-2</v>
      </c>
      <c r="AP32" s="168" t="str">
        <f t="shared" si="59"/>
        <v>-0.355759642155878+6.12110697386534i</v>
      </c>
      <c r="AQ32" s="98">
        <f t="shared" si="60"/>
        <v>15.751244923177785</v>
      </c>
      <c r="AR32" s="169">
        <f t="shared" si="61"/>
        <v>93.326297185746981</v>
      </c>
      <c r="AS32" s="168" t="str">
        <f t="shared" si="62"/>
        <v>102.975210706706+643.009865385417i</v>
      </c>
      <c r="AT32" s="190">
        <f t="shared" si="63"/>
        <v>56.274330246713404</v>
      </c>
      <c r="AU32" s="169">
        <f t="shared" si="64"/>
        <v>80.901588360242258</v>
      </c>
      <c r="AV32" s="225"/>
      <c r="AX32">
        <f t="shared" si="65"/>
        <v>0</v>
      </c>
      <c r="AY32">
        <f t="shared" si="66"/>
        <v>0</v>
      </c>
    </row>
    <row r="33" spans="1:51" x14ac:dyDescent="0.3">
      <c r="N33" s="170">
        <v>15</v>
      </c>
      <c r="O33" s="199">
        <f t="shared" si="41"/>
        <v>14.125375446227544</v>
      </c>
      <c r="P33" s="189" t="str">
        <f t="shared" si="32"/>
        <v>108.75</v>
      </c>
      <c r="Q33" s="160" t="str">
        <f t="shared" si="33"/>
        <v>1+0.225253468010891i</v>
      </c>
      <c r="R33" s="160">
        <f t="shared" si="42"/>
        <v>1.0250556691472583</v>
      </c>
      <c r="S33" s="160">
        <f t="shared" si="43"/>
        <v>0.22155568374972234</v>
      </c>
      <c r="T33" s="160" t="str">
        <f t="shared" si="34"/>
        <v>1+8.34272103744045E-06i</v>
      </c>
      <c r="U33" s="160">
        <f t="shared" si="44"/>
        <v>1.0000000000348006</v>
      </c>
      <c r="V33" s="160">
        <f t="shared" si="45"/>
        <v>8.3427210372468963E-6</v>
      </c>
      <c r="W33" s="98" t="str">
        <f t="shared" si="35"/>
        <v>1-0.0000662684224250589i</v>
      </c>
      <c r="X33" s="160">
        <f t="shared" si="46"/>
        <v>1.0000000021957518</v>
      </c>
      <c r="Y33" s="160">
        <f t="shared" si="47"/>
        <v>-6.6268422328052897E-5</v>
      </c>
      <c r="Z33" s="98" t="str">
        <f t="shared" si="36"/>
        <v>0.999999995969676+0.000127825472624894i</v>
      </c>
      <c r="AA33" s="160">
        <f t="shared" si="48"/>
        <v>1.0000000041393518</v>
      </c>
      <c r="AB33" s="160">
        <f t="shared" si="49"/>
        <v>1.2782547244387697E-4</v>
      </c>
      <c r="AC33" s="171" t="str">
        <f t="shared" si="50"/>
        <v>103.494240506705-23.3326370332774i</v>
      </c>
      <c r="AD33" s="190">
        <f t="shared" si="51"/>
        <v>40.513636258421755</v>
      </c>
      <c r="AE33" s="169">
        <f t="shared" si="52"/>
        <v>-12.704848364288857</v>
      </c>
      <c r="AF33" s="98" t="str">
        <f t="shared" si="37"/>
        <v>-0.0000366300366300366</v>
      </c>
      <c r="AG33" s="98" t="str">
        <f t="shared" si="38"/>
        <v>6.12391225088712E-06i</v>
      </c>
      <c r="AH33" s="98">
        <f t="shared" si="53"/>
        <v>6.1239122508871197E-6</v>
      </c>
      <c r="AI33" s="98">
        <f t="shared" si="54"/>
        <v>1.5707963267948966</v>
      </c>
      <c r="AJ33" s="98" t="str">
        <f t="shared" si="39"/>
        <v>1+0.00087466085498913i</v>
      </c>
      <c r="AK33" s="98">
        <f t="shared" si="55"/>
        <v>1.0000003825157324</v>
      </c>
      <c r="AL33" s="98">
        <f t="shared" si="56"/>
        <v>8.7466063194149802E-4</v>
      </c>
      <c r="AM33" s="98" t="str">
        <f t="shared" si="40"/>
        <v>1+0.0603515989942498i</v>
      </c>
      <c r="AN33" s="98">
        <f t="shared" si="57"/>
        <v>1.0018195024559877</v>
      </c>
      <c r="AO33" s="98">
        <f t="shared" si="58"/>
        <v>6.0278485521085071E-2</v>
      </c>
      <c r="AP33" s="168" t="str">
        <f t="shared" si="59"/>
        <v>-0.355759629906338+5.98178757321619i</v>
      </c>
      <c r="AQ33" s="98">
        <f t="shared" si="60"/>
        <v>15.55195419202783</v>
      </c>
      <c r="AR33" s="169">
        <f t="shared" si="61"/>
        <v>93.403588453082122</v>
      </c>
      <c r="AS33" s="168" t="str">
        <f t="shared" si="62"/>
        <v>102.75180555592+627.381372078153i</v>
      </c>
      <c r="AT33" s="190">
        <f t="shared" si="63"/>
        <v>56.065590450449591</v>
      </c>
      <c r="AU33" s="169">
        <f t="shared" si="64"/>
        <v>80.69874008879323</v>
      </c>
      <c r="AV33" s="225"/>
      <c r="AX33">
        <f t="shared" si="65"/>
        <v>0</v>
      </c>
      <c r="AY33">
        <f t="shared" si="66"/>
        <v>0</v>
      </c>
    </row>
    <row r="34" spans="1:51" x14ac:dyDescent="0.3">
      <c r="N34" s="170">
        <v>16</v>
      </c>
      <c r="O34" s="199">
        <f t="shared" si="41"/>
        <v>14.454397707459275</v>
      </c>
      <c r="P34" s="189" t="str">
        <f t="shared" si="32"/>
        <v>108.75</v>
      </c>
      <c r="Q34" s="160" t="str">
        <f t="shared" si="33"/>
        <v>1+0.230500295302482i</v>
      </c>
      <c r="R34" s="160">
        <f t="shared" si="42"/>
        <v>1.0262214118476243</v>
      </c>
      <c r="S34" s="160">
        <f t="shared" si="43"/>
        <v>0.22654349540694974</v>
      </c>
      <c r="T34" s="160" t="str">
        <f t="shared" si="34"/>
        <v>1+8.53704797416603E-06i</v>
      </c>
      <c r="U34" s="160">
        <f t="shared" si="44"/>
        <v>1.0000000000364406</v>
      </c>
      <c r="V34" s="160">
        <f t="shared" si="45"/>
        <v>8.5370479739586338E-6</v>
      </c>
      <c r="W34" s="98" t="str">
        <f t="shared" si="35"/>
        <v>1-0.0000678120122770636i</v>
      </c>
      <c r="X34" s="160">
        <f t="shared" si="46"/>
        <v>1.0000000022992344</v>
      </c>
      <c r="Y34" s="160">
        <f t="shared" si="47"/>
        <v>-6.7812012173119779E-5</v>
      </c>
      <c r="Z34" s="98" t="str">
        <f t="shared" si="36"/>
        <v>0.999999995779733+0.000130802910372029i</v>
      </c>
      <c r="AA34" s="160">
        <f t="shared" si="48"/>
        <v>1.0000000043344337</v>
      </c>
      <c r="AB34" s="160">
        <f t="shared" si="49"/>
        <v>1.3080291017806571E-4</v>
      </c>
      <c r="AC34" s="171" t="str">
        <f t="shared" si="50"/>
        <v>103.259040462074-23.8219102878316i</v>
      </c>
      <c r="AD34" s="190">
        <f t="shared" si="51"/>
        <v>40.503763858025927</v>
      </c>
      <c r="AE34" s="169">
        <f t="shared" si="52"/>
        <v>-12.990876822940136</v>
      </c>
      <c r="AF34" s="98" t="str">
        <f t="shared" si="37"/>
        <v>-0.0000366300366300366</v>
      </c>
      <c r="AG34" s="98" t="str">
        <f t="shared" si="38"/>
        <v>6.26655649167505E-06i</v>
      </c>
      <c r="AH34" s="98">
        <f t="shared" si="53"/>
        <v>6.2665564916750498E-6</v>
      </c>
      <c r="AI34" s="98">
        <f t="shared" si="54"/>
        <v>1.5707963267948966</v>
      </c>
      <c r="AJ34" s="98" t="str">
        <f t="shared" si="39"/>
        <v>1+0.000895034323532669i</v>
      </c>
      <c r="AK34" s="98">
        <f t="shared" si="55"/>
        <v>1.00000040054314</v>
      </c>
      <c r="AL34" s="98">
        <f t="shared" si="56"/>
        <v>8.9503408453283056E-4</v>
      </c>
      <c r="AM34" s="98" t="str">
        <f t="shared" si="40"/>
        <v>1+0.061757368323754i</v>
      </c>
      <c r="AN34" s="98">
        <f t="shared" si="57"/>
        <v>1.0019051714320453</v>
      </c>
      <c r="AO34" s="98">
        <f t="shared" si="58"/>
        <v>6.1679033869354867E-2</v>
      </c>
      <c r="AP34" s="168" t="str">
        <f t="shared" si="59"/>
        <v>-0.355759617079495+5.84563979551564i</v>
      </c>
      <c r="AQ34" s="98">
        <f t="shared" si="60"/>
        <v>15.352696763505813</v>
      </c>
      <c r="AR34" s="169">
        <f t="shared" si="61"/>
        <v>93.482666649594393</v>
      </c>
      <c r="AS34" s="168" t="str">
        <f t="shared" si="62"/>
        <v>102.518910088968+612.09002985396i</v>
      </c>
      <c r="AT34" s="190">
        <f t="shared" si="63"/>
        <v>55.856460621531731</v>
      </c>
      <c r="AU34" s="169">
        <f t="shared" si="64"/>
        <v>80.491789826654284</v>
      </c>
      <c r="AV34" s="225"/>
      <c r="AX34">
        <f t="shared" si="65"/>
        <v>0</v>
      </c>
      <c r="AY34">
        <f t="shared" si="66"/>
        <v>0</v>
      </c>
    </row>
    <row r="35" spans="1:51" x14ac:dyDescent="0.3">
      <c r="A35" s="98" t="s">
        <v>235</v>
      </c>
      <c r="B35" s="208">
        <f>IF(Dc_Mode_Loop="CCM",(Gcomp*(VIN_var/VOUT)*(VOUT/IOUT))/(2*R_cs*Acs),K35*K37)</f>
        <v>108.75000000000001</v>
      </c>
      <c r="C35" s="98" t="s">
        <v>180</v>
      </c>
      <c r="E35" s="98" t="s">
        <v>239</v>
      </c>
      <c r="J35" s="98" t="s">
        <v>546</v>
      </c>
      <c r="K35" s="98">
        <f>Fsw/((1+B45/B46)*B46)</f>
        <v>6.7414195958026601</v>
      </c>
      <c r="N35" s="170">
        <v>17</v>
      </c>
      <c r="O35" s="199">
        <f t="shared" si="41"/>
        <v>14.791083881682074</v>
      </c>
      <c r="P35" s="189" t="str">
        <f t="shared" si="32"/>
        <v>108.75</v>
      </c>
      <c r="Q35" s="160" t="str">
        <f t="shared" si="33"/>
        <v>1+0.235869336901674i</v>
      </c>
      <c r="R35" s="160">
        <f t="shared" si="42"/>
        <v>1.0274406766769726</v>
      </c>
      <c r="S35" s="160">
        <f t="shared" si="43"/>
        <v>0.23163564106974208</v>
      </c>
      <c r="T35" s="160" t="str">
        <f t="shared" si="34"/>
        <v>1+8.73590136672871E-06i</v>
      </c>
      <c r="U35" s="160">
        <f t="shared" si="44"/>
        <v>1.0000000000381579</v>
      </c>
      <c r="V35" s="160">
        <f t="shared" si="45"/>
        <v>8.7359013665064806E-6</v>
      </c>
      <c r="W35" s="98" t="str">
        <f t="shared" si="35"/>
        <v>1-0.0000693915569555756i</v>
      </c>
      <c r="X35" s="160">
        <f t="shared" si="46"/>
        <v>1.0000000024075941</v>
      </c>
      <c r="Y35" s="160">
        <f t="shared" si="47"/>
        <v>-6.93915568441978E-5</v>
      </c>
      <c r="Z35" s="98" t="str">
        <f t="shared" si="36"/>
        <v>0.999999995580838+0.000133849701553625i</v>
      </c>
      <c r="AA35" s="160">
        <f t="shared" si="48"/>
        <v>1.0000000045387092</v>
      </c>
      <c r="AB35" s="160">
        <f t="shared" si="49"/>
        <v>1.3384970134578956E-4</v>
      </c>
      <c r="AC35" s="171" t="str">
        <f t="shared" si="50"/>
        <v>103.013897859547-24.3189722371652i</v>
      </c>
      <c r="AD35" s="190">
        <f t="shared" si="51"/>
        <v>40.493450182868756</v>
      </c>
      <c r="AE35" s="169">
        <f t="shared" si="52"/>
        <v>-13.28288895414218</v>
      </c>
      <c r="AF35" s="98" t="str">
        <f t="shared" si="37"/>
        <v>-0.0000366300366300366</v>
      </c>
      <c r="AG35" s="98" t="str">
        <f t="shared" si="38"/>
        <v>6.41252334366255E-06i</v>
      </c>
      <c r="AH35" s="98">
        <f t="shared" si="53"/>
        <v>6.4125233436625497E-6</v>
      </c>
      <c r="AI35" s="98">
        <f t="shared" si="54"/>
        <v>1.5707963267948966</v>
      </c>
      <c r="AJ35" s="98" t="str">
        <f t="shared" si="39"/>
        <v>1+0.000915882351121726i</v>
      </c>
      <c r="AK35" s="98">
        <f t="shared" si="55"/>
        <v>1.0000004194201526</v>
      </c>
      <c r="AL35" s="98">
        <f t="shared" si="56"/>
        <v>9.1588209502879085E-4</v>
      </c>
      <c r="AM35" s="98" t="str">
        <f t="shared" si="40"/>
        <v>1+0.0631958822273989i</v>
      </c>
      <c r="AN35" s="98">
        <f t="shared" si="57"/>
        <v>1.0019948700120671</v>
      </c>
      <c r="AO35" s="98">
        <f t="shared" si="58"/>
        <v>6.3111954370021539E-2</v>
      </c>
      <c r="AP35" s="168" t="str">
        <f t="shared" si="59"/>
        <v>-0.355759603648144+5.71259145340978i</v>
      </c>
      <c r="AQ35" s="98">
        <f t="shared" si="60"/>
        <v>15.153474195181909</v>
      </c>
      <c r="AR35" s="169">
        <f t="shared" si="61"/>
        <v>93.563572443647701</v>
      </c>
      <c r="AS35" s="168" t="str">
        <f t="shared" si="62"/>
        <v>102.276169484977+597.1280204191i</v>
      </c>
      <c r="AT35" s="190">
        <f t="shared" si="63"/>
        <v>55.646924378050656</v>
      </c>
      <c r="AU35" s="169">
        <f t="shared" si="64"/>
        <v>80.28068348950552</v>
      </c>
      <c r="AV35" s="225"/>
      <c r="AX35">
        <f t="shared" si="65"/>
        <v>0</v>
      </c>
      <c r="AY35">
        <f t="shared" si="66"/>
        <v>0</v>
      </c>
    </row>
    <row r="36" spans="1:51" x14ac:dyDescent="0.3">
      <c r="A36" s="98" t="s">
        <v>252</v>
      </c>
      <c r="B36" s="209">
        <f>IF(Dc_Mode_Loop="CCM",2/(Cout*(VOUT/IOUT)),(2*B20/B17-1)/(Cout*(VOUT/IOUT)*(B20/B17-1)))</f>
        <v>394.01103230890465</v>
      </c>
      <c r="C36" s="98" t="s">
        <v>251</v>
      </c>
      <c r="E36" s="98" t="s">
        <v>242</v>
      </c>
      <c r="J36" s="98" t="s">
        <v>547</v>
      </c>
      <c r="K36" s="98">
        <f>(1+SQRT(1+2*(Dc_DCM_VIN_nom^2)/K38))/2</f>
        <v>1.2</v>
      </c>
      <c r="N36" s="170">
        <v>18</v>
      </c>
      <c r="O36" s="199">
        <f t="shared" si="41"/>
        <v>15.135612484362087</v>
      </c>
      <c r="P36" s="189" t="str">
        <f t="shared" si="32"/>
        <v>108.75</v>
      </c>
      <c r="Q36" s="160" t="str">
        <f t="shared" si="33"/>
        <v>1+0.241363439545392i</v>
      </c>
      <c r="R36" s="160">
        <f t="shared" si="42"/>
        <v>1.0287158548156932</v>
      </c>
      <c r="S36" s="160">
        <f t="shared" si="43"/>
        <v>0.23683376387878377</v>
      </c>
      <c r="T36" s="160" t="str">
        <f t="shared" si="34"/>
        <v>1+8.93938664982936E-06i</v>
      </c>
      <c r="U36" s="160">
        <f t="shared" si="44"/>
        <v>1.0000000000399565</v>
      </c>
      <c r="V36" s="160">
        <f t="shared" si="45"/>
        <v>8.9393866495912371E-6</v>
      </c>
      <c r="W36" s="98" t="str">
        <f t="shared" si="35"/>
        <v>1-0.0000710078939560914i</v>
      </c>
      <c r="X36" s="160">
        <f t="shared" si="46"/>
        <v>1.0000000025210605</v>
      </c>
      <c r="Y36" s="160">
        <f t="shared" si="47"/>
        <v>-7.1007893836747937E-5</v>
      </c>
      <c r="Z36" s="98" t="str">
        <f t="shared" si="36"/>
        <v>0.999999995372569+0.000136967461618695i</v>
      </c>
      <c r="AA36" s="160">
        <f t="shared" si="48"/>
        <v>1.0000000047526116</v>
      </c>
      <c r="AB36" s="160">
        <f t="shared" si="49"/>
        <v>1.3696746139599538E-4</v>
      </c>
      <c r="AC36" s="171" t="str">
        <f t="shared" si="50"/>
        <v>102.758445411207-24.8237769881793i</v>
      </c>
      <c r="AD36" s="190">
        <f t="shared" si="51"/>
        <v>40.482676626757723</v>
      </c>
      <c r="AE36" s="169">
        <f t="shared" si="52"/>
        <v>-13.580979037423258</v>
      </c>
      <c r="AF36" s="98" t="str">
        <f t="shared" si="37"/>
        <v>-0.0000366300366300366</v>
      </c>
      <c r="AG36" s="98" t="str">
        <f t="shared" si="38"/>
        <v>6.56189020040664E-06i</v>
      </c>
      <c r="AH36" s="98">
        <f t="shared" si="53"/>
        <v>6.56189020040664E-6</v>
      </c>
      <c r="AI36" s="98">
        <f t="shared" si="54"/>
        <v>1.5707963267948966</v>
      </c>
      <c r="AJ36" s="98" t="str">
        <f t="shared" si="39"/>
        <v>1+0.000937215991656484i</v>
      </c>
      <c r="AK36" s="98">
        <f t="shared" si="55"/>
        <v>1.0000004391868111</v>
      </c>
      <c r="AL36" s="98">
        <f t="shared" si="56"/>
        <v>9.3721571724796656E-4</v>
      </c>
      <c r="AM36" s="98" t="str">
        <f t="shared" si="40"/>
        <v>1+0.0646679034242972i</v>
      </c>
      <c r="AN36" s="98">
        <f t="shared" si="57"/>
        <v>1.0020887873503497</v>
      </c>
      <c r="AO36" s="98">
        <f t="shared" si="58"/>
        <v>6.4577983225941035E-2</v>
      </c>
      <c r="AP36" s="168" t="str">
        <f t="shared" si="59"/>
        <v>-0.355759589583793+5.58257200290641i</v>
      </c>
      <c r="AQ36" s="98">
        <f t="shared" si="60"/>
        <v>14.954288116887692</v>
      </c>
      <c r="AR36" s="169">
        <f t="shared" si="61"/>
        <v>93.646347383221425</v>
      </c>
      <c r="AS36" s="168" t="str">
        <f t="shared" si="62"/>
        <v>102.023220054843+582.487717128025i</v>
      </c>
      <c r="AT36" s="190">
        <f t="shared" si="63"/>
        <v>55.436964743645412</v>
      </c>
      <c r="AU36" s="169">
        <f t="shared" si="64"/>
        <v>80.06536834579812</v>
      </c>
      <c r="AV36" s="225"/>
      <c r="AX36">
        <f t="shared" si="65"/>
        <v>0</v>
      </c>
      <c r="AY36">
        <f t="shared" si="66"/>
        <v>0</v>
      </c>
    </row>
    <row r="37" spans="1:51" x14ac:dyDescent="0.3">
      <c r="B37" s="210">
        <f>wp_lf/(2*PI())</f>
        <v>62.708803424702658</v>
      </c>
      <c r="C37" s="98" t="s">
        <v>69</v>
      </c>
      <c r="J37" s="98" t="s">
        <v>548</v>
      </c>
      <c r="K37" s="98">
        <f>2*VOUT/Dc_DCM_VIN_nom*(K36-1)/(2*K36-1)</f>
        <v>46.359949641010928</v>
      </c>
      <c r="N37" s="170">
        <v>19</v>
      </c>
      <c r="O37" s="199">
        <f t="shared" si="41"/>
        <v>15.488166189124817</v>
      </c>
      <c r="P37" s="189" t="str">
        <f t="shared" si="32"/>
        <v>108.75</v>
      </c>
      <c r="Q37" s="160" t="str">
        <f t="shared" si="33"/>
        <v>1+0.246985516279579i</v>
      </c>
      <c r="R37" s="160">
        <f t="shared" si="42"/>
        <v>1.0300494382561889</v>
      </c>
      <c r="S37" s="160">
        <f t="shared" si="43"/>
        <v>0.24213949580776373</v>
      </c>
      <c r="T37" s="160" t="str">
        <f t="shared" si="34"/>
        <v>1+0.0000091476117140585i</v>
      </c>
      <c r="U37" s="160">
        <f t="shared" si="44"/>
        <v>1.0000000000418394</v>
      </c>
      <c r="V37" s="160">
        <f t="shared" si="45"/>
        <v>9.1476117138033471E-6</v>
      </c>
      <c r="W37" s="98" t="str">
        <f t="shared" si="35"/>
        <v>1-0.0000726618802818832i</v>
      </c>
      <c r="X37" s="160">
        <f t="shared" si="46"/>
        <v>1.0000000026398743</v>
      </c>
      <c r="Y37" s="160">
        <f t="shared" si="47"/>
        <v>-7.2661880154004368E-5</v>
      </c>
      <c r="Z37" s="98" t="str">
        <f t="shared" si="36"/>
        <v>0.999999995154485+0.000140157843644894i</v>
      </c>
      <c r="AA37" s="160">
        <f t="shared" si="48"/>
        <v>1.0000000049765956</v>
      </c>
      <c r="AB37" s="160">
        <f t="shared" si="49"/>
        <v>1.4015784340626705E-4</v>
      </c>
      <c r="AC37" s="171" t="str">
        <f t="shared" si="50"/>
        <v>102.492307072618-25.3362647189749i</v>
      </c>
      <c r="AD37" s="190">
        <f t="shared" si="51"/>
        <v>40.471423900504853</v>
      </c>
      <c r="AE37" s="169">
        <f t="shared" si="52"/>
        <v>-13.885240715623796</v>
      </c>
      <c r="AF37" s="98" t="str">
        <f t="shared" si="37"/>
        <v>-0.0000366300366300366</v>
      </c>
      <c r="AG37" s="98" t="str">
        <f t="shared" si="38"/>
        <v>6.71473625819186E-06i</v>
      </c>
      <c r="AH37" s="98">
        <f t="shared" si="53"/>
        <v>6.71473625819186E-6</v>
      </c>
      <c r="AI37" s="98">
        <f t="shared" si="54"/>
        <v>1.5707963267948966</v>
      </c>
      <c r="AJ37" s="98" t="str">
        <f t="shared" si="39"/>
        <v>1+0.000959046556515537i</v>
      </c>
      <c r="AK37" s="98">
        <f t="shared" si="55"/>
        <v>1.0000004598850429</v>
      </c>
      <c r="AL37" s="98">
        <f t="shared" si="56"/>
        <v>9.5904626248152032E-4</v>
      </c>
      <c r="AM37" s="98" t="str">
        <f t="shared" si="40"/>
        <v>1+0.0661742123995719i</v>
      </c>
      <c r="AN37" s="98">
        <f t="shared" si="57"/>
        <v>1.0021871214432481</v>
      </c>
      <c r="AO37" s="98">
        <f t="shared" si="58"/>
        <v>6.6077872524017645E-2</v>
      </c>
      <c r="AP37" s="168" t="str">
        <f t="shared" si="59"/>
        <v>-0.355759574856611+5.45551250597186i</v>
      </c>
      <c r="AQ37" s="98">
        <f t="shared" si="60"/>
        <v>14.755140234012581</v>
      </c>
      <c r="AR37" s="169">
        <f t="shared" si="61"/>
        <v>93.731033911631684</v>
      </c>
      <c r="AS37" s="168" t="str">
        <f t="shared" si="62"/>
        <v>101.759689438753+568.161681765453i</v>
      </c>
      <c r="AT37" s="190">
        <f t="shared" si="63"/>
        <v>55.226564134517432</v>
      </c>
      <c r="AU37" s="169">
        <f t="shared" si="64"/>
        <v>79.845793196007932</v>
      </c>
      <c r="AV37" s="225"/>
      <c r="AX37">
        <f t="shared" si="65"/>
        <v>0</v>
      </c>
      <c r="AY37">
        <f t="shared" si="66"/>
        <v>0</v>
      </c>
    </row>
    <row r="38" spans="1:51" x14ac:dyDescent="0.3">
      <c r="B38" s="211"/>
      <c r="C38" s="98" t="s">
        <v>275</v>
      </c>
      <c r="E38" s="98" t="s">
        <v>274</v>
      </c>
      <c r="J38" s="98" t="s">
        <v>549</v>
      </c>
      <c r="K38" s="98">
        <f>(Lm*Fsw/(VOUT/IOUT))</f>
        <v>0.23074074074074072</v>
      </c>
      <c r="N38" s="170">
        <v>20</v>
      </c>
      <c r="O38" s="199">
        <f t="shared" si="41"/>
        <v>15.848931924611136</v>
      </c>
      <c r="P38" s="189" t="str">
        <f t="shared" si="32"/>
        <v>108.75</v>
      </c>
      <c r="Q38" s="160" t="str">
        <f t="shared" si="33"/>
        <v>1+0.252738548003737i</v>
      </c>
      <c r="R38" s="160">
        <f t="shared" si="42"/>
        <v>1.0314440235160789</v>
      </c>
      <c r="S38" s="160">
        <f t="shared" si="43"/>
        <v>0.24755445462341563</v>
      </c>
      <c r="T38" s="160" t="str">
        <f t="shared" si="34"/>
        <v>1+9.36068696310141E-06i</v>
      </c>
      <c r="U38" s="160">
        <f t="shared" si="44"/>
        <v>1.0000000000438112</v>
      </c>
      <c r="V38" s="160">
        <f t="shared" si="45"/>
        <v>9.3606869628280077E-6</v>
      </c>
      <c r="W38" s="98" t="str">
        <f t="shared" si="35"/>
        <v>1-0.0000743543928983942i</v>
      </c>
      <c r="X38" s="160">
        <f t="shared" si="46"/>
        <v>1.0000000027642879</v>
      </c>
      <c r="Y38" s="160">
        <f t="shared" si="47"/>
        <v>-7.435439276136957E-5</v>
      </c>
      <c r="Z38" s="98" t="str">
        <f t="shared" si="36"/>
        <v>0.999999994926123+0.000143422539215001i</v>
      </c>
      <c r="AA38" s="160">
        <f t="shared" si="48"/>
        <v>1.0000000052111353</v>
      </c>
      <c r="AB38" s="160">
        <f t="shared" si="49"/>
        <v>1.4342253895930759E-4</v>
      </c>
      <c r="AC38" s="171" t="str">
        <f t="shared" si="50"/>
        <v>102.215098293257-25.856360793096i</v>
      </c>
      <c r="AD38" s="190">
        <f t="shared" si="51"/>
        <v>40.459672016058889</v>
      </c>
      <c r="AE38" s="169">
        <f t="shared" si="52"/>
        <v>-14.19576682079121</v>
      </c>
      <c r="AF38" s="98" t="str">
        <f t="shared" si="37"/>
        <v>-0.0000366300366300366</v>
      </c>
      <c r="AG38" s="98" t="str">
        <f t="shared" si="38"/>
        <v>6.87114255802123E-06i</v>
      </c>
      <c r="AH38" s="98">
        <f t="shared" si="53"/>
        <v>6.8711425580212298E-6</v>
      </c>
      <c r="AI38" s="98">
        <f t="shared" si="54"/>
        <v>1.5707963267948966</v>
      </c>
      <c r="AJ38" s="98" t="str">
        <f t="shared" si="39"/>
        <v>1+0.000981385620553338i</v>
      </c>
      <c r="AK38" s="98">
        <f t="shared" si="55"/>
        <v>1.0000004815587522</v>
      </c>
      <c r="AL38" s="98">
        <f t="shared" si="56"/>
        <v>9.8138530549022099E-4</v>
      </c>
      <c r="AM38" s="98" t="str">
        <f t="shared" si="40"/>
        <v>1+0.0677156078181801i</v>
      </c>
      <c r="AN38" s="98">
        <f t="shared" si="57"/>
        <v>1.0022900795389453</v>
      </c>
      <c r="AO38" s="98">
        <f t="shared" si="58"/>
        <v>6.7612390516183854E-2</v>
      </c>
      <c r="AP38" s="168" t="str">
        <f t="shared" si="59"/>
        <v>-0.355759559435359+5.33134559397886i</v>
      </c>
      <c r="AQ38" s="98">
        <f t="shared" si="60"/>
        <v>14.5560323309445</v>
      </c>
      <c r="AR38" s="169">
        <f t="shared" si="61"/>
        <v>93.817675383286954</v>
      </c>
      <c r="AS38" s="168" t="str">
        <f t="shared" si="62"/>
        <v>101.485196854149+554.142661448225i</v>
      </c>
      <c r="AT38" s="190">
        <f t="shared" si="63"/>
        <v>55.015704347003378</v>
      </c>
      <c r="AU38" s="169">
        <f t="shared" si="64"/>
        <v>79.621908562495747</v>
      </c>
      <c r="AV38" s="225"/>
      <c r="AX38">
        <f t="shared" si="65"/>
        <v>0</v>
      </c>
      <c r="AY38">
        <f t="shared" si="66"/>
        <v>0</v>
      </c>
    </row>
    <row r="39" spans="1:51" x14ac:dyDescent="0.3">
      <c r="A39" s="98" t="s">
        <v>253</v>
      </c>
      <c r="B39" s="209">
        <f>((VOUT/IOUT)*((VIN_var/VOUT)^2))/(Lm)</f>
        <v>1339285.7142857146</v>
      </c>
      <c r="C39" s="98" t="s">
        <v>251</v>
      </c>
      <c r="E39" s="98" t="s">
        <v>243</v>
      </c>
      <c r="N39" s="170">
        <v>21</v>
      </c>
      <c r="O39" s="199">
        <f t="shared" si="41"/>
        <v>16.218100973589298</v>
      </c>
      <c r="P39" s="189" t="str">
        <f t="shared" si="32"/>
        <v>108.75</v>
      </c>
      <c r="Q39" s="160" t="str">
        <f t="shared" si="33"/>
        <v>1+0.258625585051437i</v>
      </c>
      <c r="R39" s="160">
        <f t="shared" si="42"/>
        <v>1.0329023154409123</v>
      </c>
      <c r="S39" s="160">
        <f t="shared" si="43"/>
        <v>0.25308024065540519</v>
      </c>
      <c r="T39" s="160" t="str">
        <f t="shared" si="34"/>
        <v>1+9.57872537227546E-06i</v>
      </c>
      <c r="U39" s="160">
        <f t="shared" si="44"/>
        <v>1.000000000045876</v>
      </c>
      <c r="V39" s="160">
        <f t="shared" si="45"/>
        <v>9.5787253719825033E-6</v>
      </c>
      <c r="W39" s="98" t="str">
        <f t="shared" si="35"/>
        <v>1-0.0000760863291982165i</v>
      </c>
      <c r="X39" s="160">
        <f t="shared" si="46"/>
        <v>1.0000000028945646</v>
      </c>
      <c r="Y39" s="160">
        <f t="shared" si="47"/>
        <v>-7.6086329051391958E-5</v>
      </c>
      <c r="Z39" s="98" t="str">
        <f t="shared" si="36"/>
        <v>0.999999994686998+0.000146763279313822i</v>
      </c>
      <c r="AA39" s="160">
        <f t="shared" si="48"/>
        <v>1.0000000054567282</v>
      </c>
      <c r="AB39" s="160">
        <f t="shared" si="49"/>
        <v>1.4676327903984164E-4</v>
      </c>
      <c r="AC39" s="171" t="str">
        <f t="shared" si="50"/>
        <v>101.926426322086-26.3839748480132i</v>
      </c>
      <c r="AD39" s="190">
        <f t="shared" si="51"/>
        <v>40.447400271146265</v>
      </c>
      <c r="AE39" s="169">
        <f t="shared" si="52"/>
        <v>-14.51264918918274</v>
      </c>
      <c r="AF39" s="98" t="str">
        <f t="shared" si="37"/>
        <v>-0.0000366300366300366</v>
      </c>
      <c r="AG39" s="98" t="str">
        <f t="shared" si="38"/>
        <v>7.03119202858517E-06i</v>
      </c>
      <c r="AH39" s="98">
        <f t="shared" si="53"/>
        <v>7.0311920285851702E-6</v>
      </c>
      <c r="AI39" s="98">
        <f t="shared" si="54"/>
        <v>1.5707963267948966</v>
      </c>
      <c r="AJ39" s="98" t="str">
        <f t="shared" si="39"/>
        <v>1+0.00100424502823733i</v>
      </c>
      <c r="AK39" s="98">
        <f t="shared" si="55"/>
        <v>1.0000005042539113</v>
      </c>
      <c r="AL39" s="98">
        <f t="shared" si="56"/>
        <v>1.004244690641127E-3</v>
      </c>
      <c r="AM39" s="98" t="str">
        <f t="shared" si="40"/>
        <v>1+0.0692929069483754i</v>
      </c>
      <c r="AN39" s="98">
        <f t="shared" si="57"/>
        <v>1.0023978785658698</v>
      </c>
      <c r="AO39" s="98">
        <f t="shared" si="58"/>
        <v>6.9182321900729829E-2</v>
      </c>
      <c r="AP39" s="168" t="str">
        <f t="shared" si="59"/>
        <v>-0.355759543287328+5.2100054319871i</v>
      </c>
      <c r="AQ39" s="98">
        <f t="shared" si="60"/>
        <v>14.356966274662273</v>
      </c>
      <c r="AR39" s="169">
        <f t="shared" si="61"/>
        <v>93.906316079455138</v>
      </c>
      <c r="AS39" s="168" t="str">
        <f t="shared" si="62"/>
        <v>101.199353398305+540.423585643135i</v>
      </c>
      <c r="AT39" s="190">
        <f t="shared" si="63"/>
        <v>54.804366545808548</v>
      </c>
      <c r="AU39" s="169">
        <f t="shared" si="64"/>
        <v>79.393666890272414</v>
      </c>
      <c r="AV39" s="225"/>
      <c r="AX39">
        <f t="shared" si="65"/>
        <v>0</v>
      </c>
      <c r="AY39">
        <f t="shared" si="66"/>
        <v>0</v>
      </c>
    </row>
    <row r="40" spans="1:51" x14ac:dyDescent="0.3">
      <c r="B40" s="211">
        <f>wz_rhp/(2*PI())</f>
        <v>213153.9416409313</v>
      </c>
      <c r="C40" s="98" t="s">
        <v>69</v>
      </c>
      <c r="N40" s="170">
        <v>22</v>
      </c>
      <c r="O40" s="199">
        <f t="shared" si="41"/>
        <v>16.595869074375614</v>
      </c>
      <c r="P40" s="189" t="str">
        <f t="shared" si="32"/>
        <v>108.75</v>
      </c>
      <c r="Q40" s="160" t="str">
        <f t="shared" si="33"/>
        <v>1+0.264649748807646i</v>
      </c>
      <c r="R40" s="160">
        <f t="shared" si="42"/>
        <v>1.0344271310942836</v>
      </c>
      <c r="S40" s="160">
        <f t="shared" si="43"/>
        <v>0.25871843337083117</v>
      </c>
      <c r="T40" s="160" t="str">
        <f t="shared" si="34"/>
        <v>1+9.80184254843137E-06i</v>
      </c>
      <c r="U40" s="160">
        <f t="shared" si="44"/>
        <v>1.000000000048038</v>
      </c>
      <c r="V40" s="160">
        <f t="shared" si="45"/>
        <v>9.8018425481174628E-6</v>
      </c>
      <c r="W40" s="98" t="str">
        <f t="shared" si="35"/>
        <v>1-0.0000778586074769017i</v>
      </c>
      <c r="X40" s="160">
        <f t="shared" si="46"/>
        <v>1.0000000030309812</v>
      </c>
      <c r="Y40" s="160">
        <f t="shared" si="47"/>
        <v>-7.7858607319576369E-5</v>
      </c>
      <c r="Z40" s="98" t="str">
        <f t="shared" si="36"/>
        <v>0.999999994436604+0.000150181835245978i</v>
      </c>
      <c r="AA40" s="160">
        <f t="shared" si="48"/>
        <v>1.000000005713896</v>
      </c>
      <c r="AB40" s="160">
        <f t="shared" si="49"/>
        <v>1.5018183495240278E-4</v>
      </c>
      <c r="AC40" s="171" t="str">
        <f t="shared" si="50"/>
        <v>101.625890572613-26.9189998598645i</v>
      </c>
      <c r="AD40" s="190">
        <f t="shared" si="51"/>
        <v>40.434587234528117</v>
      </c>
      <c r="AE40" s="169">
        <f t="shared" si="52"/>
        <v>-14.835978465076298</v>
      </c>
      <c r="AF40" s="98" t="str">
        <f t="shared" si="37"/>
        <v>-0.0000366300366300366</v>
      </c>
      <c r="AG40" s="98" t="str">
        <f t="shared" si="38"/>
        <v>7.19496953023151E-06i</v>
      </c>
      <c r="AH40" s="98">
        <f t="shared" si="53"/>
        <v>7.1949695302315101E-6</v>
      </c>
      <c r="AI40" s="98">
        <f t="shared" si="54"/>
        <v>1.5707963267948966</v>
      </c>
      <c r="AJ40" s="98" t="str">
        <f t="shared" si="39"/>
        <v>1+0.00102763689992805i</v>
      </c>
      <c r="AK40" s="98">
        <f t="shared" si="55"/>
        <v>1.0000005280186597</v>
      </c>
      <c r="AL40" s="98">
        <f t="shared" si="56"/>
        <v>1.0276365381872113E-3</v>
      </c>
      <c r="AM40" s="98" t="str">
        <f t="shared" si="40"/>
        <v>1+0.0709069460950351i</v>
      </c>
      <c r="AN40" s="98">
        <f t="shared" si="57"/>
        <v>1.0025107455805768</v>
      </c>
      <c r="AO40" s="98">
        <f t="shared" si="58"/>
        <v>7.0788468103569591E-2</v>
      </c>
      <c r="AP40" s="168" t="str">
        <f t="shared" si="59"/>
        <v>-0.355759526378265+5.09142768383641i</v>
      </c>
      <c r="AQ40" s="98">
        <f t="shared" si="60"/>
        <v>14.157944018483891</v>
      </c>
      <c r="AR40" s="169">
        <f t="shared" si="61"/>
        <v>93.9970012240194</v>
      </c>
      <c r="AS40" s="168" t="str">
        <f t="shared" si="62"/>
        <v>100.90176240982+526.997563296653i</v>
      </c>
      <c r="AT40" s="190">
        <f t="shared" si="63"/>
        <v>54.592531253011998</v>
      </c>
      <c r="AU40" s="169">
        <f t="shared" si="64"/>
        <v>79.161022758943133</v>
      </c>
      <c r="AV40" s="225"/>
      <c r="AX40">
        <f t="shared" si="65"/>
        <v>0</v>
      </c>
      <c r="AY40">
        <f t="shared" si="66"/>
        <v>0</v>
      </c>
    </row>
    <row r="41" spans="1:51" x14ac:dyDescent="0.3">
      <c r="B41" s="211"/>
      <c r="N41" s="170">
        <v>23</v>
      </c>
      <c r="O41" s="199">
        <f t="shared" si="41"/>
        <v>16.982436524617448</v>
      </c>
      <c r="P41" s="189" t="str">
        <f t="shared" si="32"/>
        <v>108.75</v>
      </c>
      <c r="Q41" s="160" t="str">
        <f t="shared" si="33"/>
        <v>1+0.270814233363725i</v>
      </c>
      <c r="R41" s="160">
        <f t="shared" si="42"/>
        <v>1.036021403732752</v>
      </c>
      <c r="S41" s="160">
        <f t="shared" si="43"/>
        <v>0.26447058774856202</v>
      </c>
      <c r="T41" s="160" t="str">
        <f t="shared" si="34"/>
        <v>1+0.0000100301567912491i</v>
      </c>
      <c r="U41" s="160">
        <f t="shared" si="44"/>
        <v>1.000000000050302</v>
      </c>
      <c r="V41" s="160">
        <f t="shared" si="45"/>
        <v>1.0030156790912741E-5</v>
      </c>
      <c r="W41" s="98" t="str">
        <f t="shared" si="35"/>
        <v>1-0.0000796721674198511i</v>
      </c>
      <c r="X41" s="160">
        <f t="shared" si="46"/>
        <v>1.000000003173827</v>
      </c>
      <c r="Y41" s="160">
        <f t="shared" si="47"/>
        <v>-7.967216725127398E-5</v>
      </c>
      <c r="Z41" s="98" t="str">
        <f t="shared" si="36"/>
        <v>0.999999994174409+0.000153680019575071i</v>
      </c>
      <c r="AA41" s="160">
        <f t="shared" si="48"/>
        <v>1.0000000059831831</v>
      </c>
      <c r="AB41" s="160">
        <f t="shared" si="49"/>
        <v>1.5368001926049951E-4</v>
      </c>
      <c r="AC41" s="171" t="str">
        <f t="shared" si="50"/>
        <v>101.313083051887-27.4613111868755i</v>
      </c>
      <c r="AD41" s="190">
        <f t="shared" si="51"/>
        <v>40.421210731986605</v>
      </c>
      <c r="AE41" s="169">
        <f t="shared" si="52"/>
        <v>-15.16584389311223</v>
      </c>
      <c r="AF41" s="98" t="str">
        <f t="shared" si="37"/>
        <v>-0.0000366300366300366</v>
      </c>
      <c r="AG41" s="98" t="str">
        <f t="shared" si="38"/>
        <v>7.36256189995945E-06i</v>
      </c>
      <c r="AH41" s="98">
        <f t="shared" si="53"/>
        <v>7.3625618999594499E-6</v>
      </c>
      <c r="AI41" s="98">
        <f t="shared" si="54"/>
        <v>1.5707963267948966</v>
      </c>
      <c r="AJ41" s="98" t="str">
        <f t="shared" si="39"/>
        <v>1+0.00105157363830549i</v>
      </c>
      <c r="AK41" s="98">
        <f t="shared" si="55"/>
        <v>1.0000005529034055</v>
      </c>
      <c r="AL41" s="98">
        <f t="shared" si="56"/>
        <v>1.0515732506932093E-3</v>
      </c>
      <c r="AM41" s="98" t="str">
        <f t="shared" si="40"/>
        <v>1+0.0725585810430784i</v>
      </c>
      <c r="AN41" s="98">
        <f t="shared" si="57"/>
        <v>1.0026289182359469</v>
      </c>
      <c r="AO41" s="98">
        <f t="shared" si="58"/>
        <v>7.243164755898876E-2</v>
      </c>
      <c r="AP41" s="168" t="str">
        <f t="shared" si="59"/>
        <v>-0.355759508672304+4.97554947803505i</v>
      </c>
      <c r="AQ41" s="98">
        <f t="shared" si="60"/>
        <v>13.958967605978543</v>
      </c>
      <c r="AR41" s="169">
        <f t="shared" si="61"/>
        <v>94.089776999195536</v>
      </c>
      <c r="AS41" s="168" t="str">
        <f t="shared" si="62"/>
        <v>100.592019893401+513.857880072278i</v>
      </c>
      <c r="AT41" s="190">
        <f t="shared" si="63"/>
        <v>54.380178337965148</v>
      </c>
      <c r="AU41" s="169">
        <f t="shared" si="64"/>
        <v>78.923933106083282</v>
      </c>
      <c r="AV41" s="225"/>
      <c r="AX41">
        <f t="shared" si="65"/>
        <v>0</v>
      </c>
      <c r="AY41">
        <f t="shared" si="66"/>
        <v>0</v>
      </c>
    </row>
    <row r="42" spans="1:51" x14ac:dyDescent="0.3">
      <c r="A42" s="98" t="s">
        <v>254</v>
      </c>
      <c r="B42" s="209">
        <f>1/(Cout*Resr)</f>
        <v>10638297.872340426</v>
      </c>
      <c r="C42" s="98" t="s">
        <v>251</v>
      </c>
      <c r="E42" s="98" t="s">
        <v>244</v>
      </c>
      <c r="N42" s="170">
        <v>24</v>
      </c>
      <c r="O42" s="199">
        <f t="shared" si="41"/>
        <v>17.378008287493756</v>
      </c>
      <c r="P42" s="189" t="str">
        <f t="shared" si="32"/>
        <v>108.75</v>
      </c>
      <c r="Q42" s="160" t="str">
        <f t="shared" si="33"/>
        <v>1+0.277122307210986i</v>
      </c>
      <c r="R42" s="160">
        <f t="shared" si="42"/>
        <v>1.0376881868624794</v>
      </c>
      <c r="S42" s="160">
        <f t="shared" si="43"/>
        <v>0.2703382304492043</v>
      </c>
      <c r="T42" s="160" t="str">
        <f t="shared" si="34"/>
        <v>1+0.0000102637891559625i</v>
      </c>
      <c r="U42" s="160">
        <f t="shared" si="44"/>
        <v>1.0000000000526725</v>
      </c>
      <c r="V42" s="160">
        <f t="shared" si="45"/>
        <v>1.0263789155602085E-5</v>
      </c>
      <c r="W42" s="98" t="str">
        <f t="shared" si="35"/>
        <v>1-0.000081527970600553i</v>
      </c>
      <c r="X42" s="160">
        <f t="shared" si="46"/>
        <v>1.0000000033234049</v>
      </c>
      <c r="Y42" s="160">
        <f t="shared" si="47"/>
        <v>-8.1527970419919356E-5</v>
      </c>
      <c r="Z42" s="98" t="str">
        <f t="shared" si="36"/>
        <v>0.999999993899858+0.00015725968708474i</v>
      </c>
      <c r="AA42" s="160">
        <f t="shared" si="48"/>
        <v>1.0000000062651628</v>
      </c>
      <c r="AB42" s="160">
        <f t="shared" si="49"/>
        <v>1.5725968674767046E-4</v>
      </c>
      <c r="AC42" s="171" t="str">
        <f t="shared" si="50"/>
        <v>100.987588857927-28.0107655943414i</v>
      </c>
      <c r="AD42" s="190">
        <f t="shared" si="51"/>
        <v>40.407247833160369</v>
      </c>
      <c r="AE42" s="169">
        <f t="shared" si="52"/>
        <v>-15.502333098929547</v>
      </c>
      <c r="AF42" s="98" t="str">
        <f t="shared" si="37"/>
        <v>-0.0000366300366300366</v>
      </c>
      <c r="AG42" s="98" t="str">
        <f t="shared" si="38"/>
        <v>7.53405799746178E-06i</v>
      </c>
      <c r="AH42" s="98">
        <f t="shared" si="53"/>
        <v>7.5340579974617799E-6</v>
      </c>
      <c r="AI42" s="98">
        <f t="shared" si="54"/>
        <v>1.5707963267948966</v>
      </c>
      <c r="AJ42" s="98" t="str">
        <f t="shared" si="39"/>
        <v>1+0.00107606793494519i</v>
      </c>
      <c r="AK42" s="98">
        <f t="shared" si="55"/>
        <v>1.0000005789609328</v>
      </c>
      <c r="AL42" s="98">
        <f t="shared" si="56"/>
        <v>1.0760675196111616E-3</v>
      </c>
      <c r="AM42" s="98" t="str">
        <f t="shared" si="40"/>
        <v>1+0.0742486875112176i</v>
      </c>
      <c r="AN42" s="98">
        <f t="shared" si="57"/>
        <v>1.0027526452705764</v>
      </c>
      <c r="AO42" s="98">
        <f t="shared" si="58"/>
        <v>7.4112695989388924E-2</v>
      </c>
      <c r="AP42" s="168" t="str">
        <f t="shared" si="59"/>
        <v>-0.35575949013189+4.86230937442436i</v>
      </c>
      <c r="AQ42" s="98">
        <f t="shared" si="60"/>
        <v>13.760039175047726</v>
      </c>
      <c r="AR42" s="169">
        <f t="shared" si="61"/>
        <v>94.184690561183302</v>
      </c>
      <c r="AS42" s="168" t="str">
        <f t="shared" si="62"/>
        <v>100.269715012424+500.997995690458i</v>
      </c>
      <c r="AT42" s="190">
        <f t="shared" si="63"/>
        <v>54.167287008208085</v>
      </c>
      <c r="AU42" s="169">
        <f t="shared" si="64"/>
        <v>78.682357462253819</v>
      </c>
      <c r="AV42" s="225"/>
      <c r="AX42">
        <f t="shared" si="65"/>
        <v>0</v>
      </c>
      <c r="AY42">
        <f t="shared" si="66"/>
        <v>0</v>
      </c>
    </row>
    <row r="43" spans="1:51" x14ac:dyDescent="0.3">
      <c r="B43" s="209">
        <f>wz_esr/(2*PI())</f>
        <v>1693137.6924669717</v>
      </c>
      <c r="C43" s="98" t="s">
        <v>69</v>
      </c>
      <c r="N43" s="170">
        <v>25</v>
      </c>
      <c r="O43" s="199">
        <f t="shared" si="41"/>
        <v>17.782794100389236</v>
      </c>
      <c r="P43" s="189" t="str">
        <f t="shared" si="32"/>
        <v>108.75</v>
      </c>
      <c r="Q43" s="160" t="str">
        <f t="shared" si="33"/>
        <v>1+0.283577314973674i</v>
      </c>
      <c r="R43" s="160">
        <f t="shared" si="42"/>
        <v>1.0394306583739381</v>
      </c>
      <c r="S43" s="160">
        <f t="shared" si="43"/>
        <v>0.27632285577711935</v>
      </c>
      <c r="T43" s="160" t="str">
        <f t="shared" si="34"/>
        <v>1+0.0000105028635175435i</v>
      </c>
      <c r="U43" s="160">
        <f t="shared" si="44"/>
        <v>1.000000000055155</v>
      </c>
      <c r="V43" s="160">
        <f t="shared" si="45"/>
        <v>1.0502863517157309E-5</v>
      </c>
      <c r="W43" s="98" t="str">
        <f t="shared" si="35"/>
        <v>1-0.0000834270009904168i</v>
      </c>
      <c r="X43" s="160">
        <f t="shared" si="46"/>
        <v>1.0000000034800323</v>
      </c>
      <c r="Y43" s="160">
        <f t="shared" si="47"/>
        <v>-8.3427000796864364E-5</v>
      </c>
      <c r="Z43" s="98" t="str">
        <f t="shared" si="36"/>
        <v>0.999999993612367+0.000160922735762078i</v>
      </c>
      <c r="AA43" s="160">
        <f t="shared" si="48"/>
        <v>1.0000000065604304</v>
      </c>
      <c r="AB43" s="160">
        <f t="shared" si="49"/>
        <v>1.6092273540090153E-4</v>
      </c>
      <c r="AC43" s="171" t="str">
        <f t="shared" si="50"/>
        <v>100.648986750209-28.5672002645404i</v>
      </c>
      <c r="AD43" s="190">
        <f t="shared" si="51"/>
        <v>40.392674839362506</v>
      </c>
      <c r="AE43" s="169">
        <f t="shared" si="52"/>
        <v>-15.845531857887975</v>
      </c>
      <c r="AF43" s="98" t="str">
        <f t="shared" si="37"/>
        <v>-0.0000366300366300366</v>
      </c>
      <c r="AG43" s="98" t="str">
        <f t="shared" si="38"/>
        <v>7.70954875223942E-06i</v>
      </c>
      <c r="AH43" s="98">
        <f t="shared" si="53"/>
        <v>7.7095487522394192E-6</v>
      </c>
      <c r="AI43" s="98">
        <f t="shared" si="54"/>
        <v>1.5707963267948966</v>
      </c>
      <c r="AJ43" s="98" t="str">
        <f t="shared" si="39"/>
        <v>1+0.00110113277704742i</v>
      </c>
      <c r="AK43" s="98">
        <f t="shared" si="55"/>
        <v>1.0000006062465125</v>
      </c>
      <c r="AL43" s="98">
        <f t="shared" si="56"/>
        <v>1.1011323320090048E-3</v>
      </c>
      <c r="AM43" s="98" t="str">
        <f t="shared" si="40"/>
        <v>1+0.0759781616162721i</v>
      </c>
      <c r="AN43" s="98">
        <f t="shared" si="57"/>
        <v>1.0028821870202842</v>
      </c>
      <c r="AO43" s="98">
        <f t="shared" si="58"/>
        <v>7.5832466683483493E-2</v>
      </c>
      <c r="AP43" s="168" t="str">
        <f t="shared" si="59"/>
        <v>-0.355759470717692+4.75164733160241i</v>
      </c>
      <c r="AQ43" s="98">
        <f t="shared" si="60"/>
        <v>13.561160962182486</v>
      </c>
      <c r="AR43" s="169">
        <f t="shared" si="61"/>
        <v>94.281790055720506</v>
      </c>
      <c r="AS43" s="168" t="str">
        <f t="shared" si="62"/>
        <v>99.9344306538287+488.411541366116i</v>
      </c>
      <c r="AT43" s="190">
        <f t="shared" si="63"/>
        <v>53.953835801544983</v>
      </c>
      <c r="AU43" s="169">
        <f t="shared" si="64"/>
        <v>78.436258197832544</v>
      </c>
      <c r="AV43" s="225"/>
      <c r="AX43">
        <f t="shared" si="65"/>
        <v>0</v>
      </c>
      <c r="AY43">
        <f t="shared" si="66"/>
        <v>0</v>
      </c>
    </row>
    <row r="44" spans="1:51" x14ac:dyDescent="0.3">
      <c r="B44" s="211"/>
      <c r="N44" s="170">
        <v>26</v>
      </c>
      <c r="O44" s="199">
        <f t="shared" si="41"/>
        <v>18.197008586099841</v>
      </c>
      <c r="P44" s="189" t="str">
        <f t="shared" si="32"/>
        <v>108.75</v>
      </c>
      <c r="Q44" s="160" t="str">
        <f t="shared" si="33"/>
        <v>1+0.290182679182354i</v>
      </c>
      <c r="R44" s="160">
        <f t="shared" si="42"/>
        <v>1.0412521247505087</v>
      </c>
      <c r="S44" s="160">
        <f t="shared" si="43"/>
        <v>0.28242592143175954</v>
      </c>
      <c r="T44" s="160" t="str">
        <f t="shared" si="34"/>
        <v>1+0.0000107475066363835i</v>
      </c>
      <c r="U44" s="160">
        <f t="shared" si="44"/>
        <v>1.0000000000577545</v>
      </c>
      <c r="V44" s="160">
        <f t="shared" si="45"/>
        <v>1.0747506635969689E-5</v>
      </c>
      <c r="W44" s="98" t="str">
        <f t="shared" si="35"/>
        <v>1-0.0000853702654804932i</v>
      </c>
      <c r="X44" s="160">
        <f t="shared" si="46"/>
        <v>1.0000000036440411</v>
      </c>
      <c r="Y44" s="160">
        <f t="shared" si="47"/>
        <v>-8.5370265273098021E-5</v>
      </c>
      <c r="Z44" s="98" t="str">
        <f t="shared" si="36"/>
        <v>0.999999993311327+0.000164671107803982i</v>
      </c>
      <c r="AA44" s="160">
        <f t="shared" si="48"/>
        <v>1.000000006869614</v>
      </c>
      <c r="AB44" s="160">
        <f t="shared" si="49"/>
        <v>1.6467110741697445E-4</v>
      </c>
      <c r="AC44" s="171" t="str">
        <f t="shared" si="50"/>
        <v>100.296849797756-29.1304317954655i</v>
      </c>
      <c r="AD44" s="190">
        <f t="shared" si="51"/>
        <v>40.377467272515226</v>
      </c>
      <c r="AE44" s="169">
        <f t="shared" si="52"/>
        <v>-16.19552385172144</v>
      </c>
      <c r="AF44" s="98" t="str">
        <f t="shared" si="37"/>
        <v>-0.0000366300366300366</v>
      </c>
      <c r="AG44" s="98" t="str">
        <f t="shared" si="38"/>
        <v>7.88912721181343E-06i</v>
      </c>
      <c r="AH44" s="98">
        <f t="shared" si="53"/>
        <v>7.8891272118134304E-6</v>
      </c>
      <c r="AI44" s="98">
        <f t="shared" si="54"/>
        <v>1.5707963267948966</v>
      </c>
      <c r="AJ44" s="98" t="str">
        <f t="shared" si="39"/>
        <v>1+0.00112678145432328i</v>
      </c>
      <c r="AK44" s="98">
        <f t="shared" si="55"/>
        <v>1.0000006348180215</v>
      </c>
      <c r="AL44" s="98">
        <f t="shared" si="56"/>
        <v>1.1267809774560429E-3</v>
      </c>
      <c r="AM44" s="98" t="str">
        <f t="shared" si="40"/>
        <v>1+0.0777479203483059i</v>
      </c>
      <c r="AN44" s="98">
        <f t="shared" si="57"/>
        <v>1.0030178159526812</v>
      </c>
      <c r="AO44" s="98">
        <f t="shared" si="58"/>
        <v>7.759183077237948E-2</v>
      </c>
      <c r="AP44" s="168" t="str">
        <f t="shared" si="59"/>
        <v>-0.355759450388536+4.64350467508912i</v>
      </c>
      <c r="AQ44" s="98">
        <f t="shared" si="60"/>
        <v>13.362335306903185</v>
      </c>
      <c r="AR44" s="169">
        <f t="shared" si="61"/>
        <v>94.381124633506815</v>
      </c>
      <c r="AS44" s="168" t="str">
        <f t="shared" si="62"/>
        <v>99.5857440698576+476.092317337727i</v>
      </c>
      <c r="AT44" s="190">
        <f t="shared" si="63"/>
        <v>53.739802579418416</v>
      </c>
      <c r="AU44" s="169">
        <f t="shared" si="64"/>
        <v>78.185600781785382</v>
      </c>
      <c r="AV44" s="225"/>
      <c r="AX44">
        <f t="shared" si="65"/>
        <v>0</v>
      </c>
      <c r="AY44">
        <f t="shared" si="66"/>
        <v>0</v>
      </c>
    </row>
    <row r="45" spans="1:51" x14ac:dyDescent="0.3">
      <c r="A45" s="98" t="s">
        <v>247</v>
      </c>
      <c r="B45" s="211">
        <f>(Isl*(Rsl_int+R_sl)*Fsw)</f>
        <v>17795.55</v>
      </c>
      <c r="C45" s="98" t="s">
        <v>180</v>
      </c>
      <c r="E45" s="98" t="s">
        <v>248</v>
      </c>
      <c r="N45" s="170">
        <v>27</v>
      </c>
      <c r="O45" s="199">
        <f t="shared" si="41"/>
        <v>18.62087136662868</v>
      </c>
      <c r="P45" s="189" t="str">
        <f t="shared" si="32"/>
        <v>108.75</v>
      </c>
      <c r="Q45" s="160" t="str">
        <f t="shared" si="33"/>
        <v>1+0.296941902088557i</v>
      </c>
      <c r="R45" s="160">
        <f t="shared" si="42"/>
        <v>1.0431560253461465</v>
      </c>
      <c r="S45" s="160">
        <f t="shared" si="43"/>
        <v>0.28864884404633906</v>
      </c>
      <c r="T45" s="160" t="str">
        <f t="shared" si="34"/>
        <v>1+0.0000109978482255021i</v>
      </c>
      <c r="U45" s="160">
        <f t="shared" si="44"/>
        <v>1.0000000000604763</v>
      </c>
      <c r="V45" s="160">
        <f t="shared" si="45"/>
        <v>1.0997848225058693E-5</v>
      </c>
      <c r="W45" s="98" t="str">
        <f t="shared" si="35"/>
        <v>1-0.0000873587944153362i</v>
      </c>
      <c r="X45" s="160">
        <f t="shared" si="46"/>
        <v>1.0000000038157795</v>
      </c>
      <c r="Y45" s="160">
        <f t="shared" si="47"/>
        <v>-8.7358794193108263E-5</v>
      </c>
      <c r="Z45" s="98" t="str">
        <f t="shared" si="36"/>
        <v>0.999999992996099+0.000168506790646923i</v>
      </c>
      <c r="AA45" s="160">
        <f t="shared" si="48"/>
        <v>1.0000000071933683</v>
      </c>
      <c r="AB45" s="160">
        <f t="shared" si="49"/>
        <v>1.6850679023223703E-4</v>
      </c>
      <c r="AC45" s="171" t="str">
        <f t="shared" si="50"/>
        <v>99.9307461094545-29.7002551928274i</v>
      </c>
      <c r="AD45" s="190">
        <f t="shared" si="51"/>
        <v>40.361599865351977</v>
      </c>
      <c r="AE45" s="169">
        <f t="shared" si="52"/>
        <v>-16.552390413008318</v>
      </c>
      <c r="AF45" s="98" t="str">
        <f t="shared" si="37"/>
        <v>-0.0000366300366300366</v>
      </c>
      <c r="AG45" s="98" t="str">
        <f t="shared" si="38"/>
        <v>8.07288859106008E-06i</v>
      </c>
      <c r="AH45" s="98">
        <f t="shared" si="53"/>
        <v>8.0728885910600792E-6</v>
      </c>
      <c r="AI45" s="98">
        <f t="shared" si="54"/>
        <v>1.5707963267948966</v>
      </c>
      <c r="AJ45" s="98" t="str">
        <f t="shared" si="39"/>
        <v>1+0.00115302756604093i</v>
      </c>
      <c r="AK45" s="98">
        <f t="shared" si="55"/>
        <v>1.0000006647360631</v>
      </c>
      <c r="AL45" s="98">
        <f t="shared" si="56"/>
        <v>1.153027055068498E-3</v>
      </c>
      <c r="AM45" s="98" t="str">
        <f t="shared" si="40"/>
        <v>1+0.0795589020568236i</v>
      </c>
      <c r="AN45" s="98">
        <f t="shared" si="57"/>
        <v>1.0031598172257934</v>
      </c>
      <c r="AO45" s="98">
        <f t="shared" si="58"/>
        <v>7.9391677502899757E-2</v>
      </c>
      <c r="AP45" s="168" t="str">
        <f t="shared" si="59"/>
        <v>-0.355759429101298+4.53782406621648i</v>
      </c>
      <c r="AQ45" s="98">
        <f t="shared" si="60"/>
        <v>13.163564656389577</v>
      </c>
      <c r="AR45" s="169">
        <f t="shared" si="61"/>
        <v>94.482744465460073</v>
      </c>
      <c r="AS45" s="168" t="str">
        <f t="shared" si="62"/>
        <v>99.2232276012168+464.034290482015i</v>
      </c>
      <c r="AT45" s="190">
        <f t="shared" si="63"/>
        <v>53.525164521741566</v>
      </c>
      <c r="AU45" s="169">
        <f t="shared" si="64"/>
        <v>77.930354052451776</v>
      </c>
      <c r="AV45" s="225"/>
      <c r="AX45">
        <f t="shared" si="65"/>
        <v>0</v>
      </c>
      <c r="AY45">
        <f t="shared" si="66"/>
        <v>0</v>
      </c>
    </row>
    <row r="46" spans="1:51" x14ac:dyDescent="0.3">
      <c r="A46" s="98" t="s">
        <v>250</v>
      </c>
      <c r="B46" s="211">
        <f>(R_cs*VIN_var*Acs)/Lm</f>
        <v>48214.28571428571</v>
      </c>
      <c r="C46" s="98" t="s">
        <v>180</v>
      </c>
      <c r="E46" s="98" t="s">
        <v>249</v>
      </c>
      <c r="N46" s="170">
        <v>28</v>
      </c>
      <c r="O46" s="199">
        <f t="shared" si="41"/>
        <v>19.054607179632477</v>
      </c>
      <c r="P46" s="189" t="str">
        <f t="shared" si="32"/>
        <v>108.75</v>
      </c>
      <c r="Q46" s="160" t="str">
        <f t="shared" si="33"/>
        <v>1+0.303858567521738i</v>
      </c>
      <c r="R46" s="160">
        <f t="shared" si="42"/>
        <v>1.0451459367267151</v>
      </c>
      <c r="S46" s="160">
        <f t="shared" si="43"/>
        <v>0.29499299451302241</v>
      </c>
      <c r="T46" s="160" t="str">
        <f t="shared" si="34"/>
        <v>1+0.0000112540210193237i</v>
      </c>
      <c r="U46" s="160">
        <f t="shared" si="44"/>
        <v>1.0000000000633265</v>
      </c>
      <c r="V46" s="160">
        <f t="shared" si="45"/>
        <v>1.1254021018848582E-5</v>
      </c>
      <c r="W46" s="98" t="str">
        <f t="shared" si="35"/>
        <v>1-0.0000893936421393086i</v>
      </c>
      <c r="X46" s="160">
        <f t="shared" si="46"/>
        <v>1.0000000039956116</v>
      </c>
      <c r="Y46" s="160">
        <f t="shared" si="47"/>
        <v>-8.9393641901187073E-5</v>
      </c>
      <c r="Z46" s="98" t="str">
        <f t="shared" si="36"/>
        <v>0.999999992666016+0.000172431818020717i</v>
      </c>
      <c r="AA46" s="160">
        <f t="shared" si="48"/>
        <v>1.0000000075323821</v>
      </c>
      <c r="AB46" s="160">
        <f t="shared" si="49"/>
        <v>1.7243181757637283E-4</v>
      </c>
      <c r="AC46" s="171" t="str">
        <f t="shared" si="50"/>
        <v>99.550239651066-30.2764428603712i</v>
      </c>
      <c r="AD46" s="190">
        <f t="shared" si="51"/>
        <v>40.345046553039701</v>
      </c>
      <c r="AE46" s="169">
        <f t="shared" si="52"/>
        <v>-16.916210257412231</v>
      </c>
      <c r="AF46" s="98" t="str">
        <f t="shared" si="37"/>
        <v>-0.0000366300366300366</v>
      </c>
      <c r="AG46" s="98" t="str">
        <f t="shared" si="38"/>
        <v>8.26093032269503E-06i</v>
      </c>
      <c r="AH46" s="98">
        <f t="shared" si="53"/>
        <v>8.2609303226950308E-6</v>
      </c>
      <c r="AI46" s="98">
        <f t="shared" si="54"/>
        <v>1.5707963267948966</v>
      </c>
      <c r="AJ46" s="98" t="str">
        <f t="shared" si="39"/>
        <v>1+0.00117988502823621i</v>
      </c>
      <c r="AK46" s="98">
        <f t="shared" si="55"/>
        <v>1.0000006960640977</v>
      </c>
      <c r="AL46" s="98">
        <f t="shared" si="56"/>
        <v>1.179884480719405E-3</v>
      </c>
      <c r="AM46" s="98" t="str">
        <f t="shared" si="40"/>
        <v>1+0.0814120669482985i</v>
      </c>
      <c r="AN46" s="98">
        <f t="shared" si="57"/>
        <v>1.0033084892717665</v>
      </c>
      <c r="AO46" s="98">
        <f t="shared" si="58"/>
        <v>8.1232914507481144E-2</v>
      </c>
      <c r="AP46" s="168" t="str">
        <f t="shared" si="59"/>
        <v>-0.355759406810826+4.43454947172663i</v>
      </c>
      <c r="AQ46" s="98">
        <f t="shared" si="60"/>
        <v>12.96485157030699</v>
      </c>
      <c r="AR46" s="169">
        <f t="shared" si="61"/>
        <v>94.586700757767488</v>
      </c>
      <c r="AS46" s="168" t="str">
        <f t="shared" si="62"/>
        <v>98.8464494860818+452.231592007242i</v>
      </c>
      <c r="AT46" s="190">
        <f t="shared" si="63"/>
        <v>53.309898123346699</v>
      </c>
      <c r="AU46" s="169">
        <f t="shared" si="64"/>
        <v>77.670490500355271</v>
      </c>
      <c r="AV46" s="225"/>
      <c r="AX46">
        <f t="shared" si="65"/>
        <v>0</v>
      </c>
      <c r="AY46">
        <f t="shared" si="66"/>
        <v>0</v>
      </c>
    </row>
    <row r="47" spans="1:51" x14ac:dyDescent="0.3">
      <c r="B47" s="211"/>
      <c r="N47" s="170">
        <v>29</v>
      </c>
      <c r="O47" s="199">
        <f t="shared" si="41"/>
        <v>19.498445997580465</v>
      </c>
      <c r="P47" s="189" t="str">
        <f t="shared" si="32"/>
        <v>108.75</v>
      </c>
      <c r="Q47" s="160" t="str">
        <f t="shared" si="33"/>
        <v>1+0.310936342789463i</v>
      </c>
      <c r="R47" s="160">
        <f t="shared" si="42"/>
        <v>1.0472255770688981</v>
      </c>
      <c r="S47" s="160">
        <f t="shared" si="43"/>
        <v>0.30145969309479881</v>
      </c>
      <c r="T47" s="160" t="str">
        <f t="shared" si="34"/>
        <v>1+0.0000115161608440542i</v>
      </c>
      <c r="U47" s="160">
        <f t="shared" si="44"/>
        <v>1.000000000066311</v>
      </c>
      <c r="V47" s="160">
        <f t="shared" si="45"/>
        <v>1.1516160843545102E-5</v>
      </c>
      <c r="W47" s="98" t="str">
        <f t="shared" si="35"/>
        <v>1-0.0000914758875556082i</v>
      </c>
      <c r="X47" s="160">
        <f t="shared" si="46"/>
        <v>1.000000004183919</v>
      </c>
      <c r="Y47" s="160">
        <f t="shared" si="47"/>
        <v>-9.1475887300456404E-5</v>
      </c>
      <c r="Z47" s="98" t="str">
        <f t="shared" si="36"/>
        <v>0.999999992320376+0.00017644827102683i</v>
      </c>
      <c r="AA47" s="160">
        <f t="shared" si="48"/>
        <v>1.0000000078873719</v>
      </c>
      <c r="AB47" s="160">
        <f t="shared" si="49"/>
        <v>1.7644827055070668E-4</v>
      </c>
      <c r="AC47" s="171" t="str">
        <f t="shared" si="50"/>
        <v>99.1548911533245-30.8587435941697i</v>
      </c>
      <c r="AD47" s="190">
        <f t="shared" si="51"/>
        <v>40.327780466385732</v>
      </c>
      <c r="AE47" s="169">
        <f t="shared" si="52"/>
        <v>-17.287059203703041</v>
      </c>
      <c r="AF47" s="98" t="str">
        <f t="shared" si="37"/>
        <v>-0.0000366300366300366</v>
      </c>
      <c r="AG47" s="98" t="str">
        <f t="shared" si="38"/>
        <v>8.45335210893342E-06i</v>
      </c>
      <c r="AH47" s="98">
        <f t="shared" si="53"/>
        <v>8.4533521089334207E-6</v>
      </c>
      <c r="AI47" s="98">
        <f t="shared" si="54"/>
        <v>1.5707963267948966</v>
      </c>
      <c r="AJ47" s="98" t="str">
        <f t="shared" si="39"/>
        <v>1+0.0012073680810911i</v>
      </c>
      <c r="AK47" s="98">
        <f t="shared" si="55"/>
        <v>1.0000007288685759</v>
      </c>
      <c r="AL47" s="98">
        <f t="shared" si="56"/>
        <v>1.2073674944162967E-3</v>
      </c>
      <c r="AM47" s="98" t="str">
        <f t="shared" si="40"/>
        <v>1+0.0833083975952856i</v>
      </c>
      <c r="AN47" s="98">
        <f t="shared" si="57"/>
        <v>1.0034641444067118</v>
      </c>
      <c r="AO47" s="98">
        <f t="shared" si="58"/>
        <v>8.3116468069902E-2</v>
      </c>
      <c r="AP47" s="168" t="str">
        <f t="shared" si="59"/>
        <v>-0.355759383469841+4.33362613406241i</v>
      </c>
      <c r="AQ47" s="98">
        <f t="shared" si="60"/>
        <v>12.766198725837221</v>
      </c>
      <c r="AR47" s="169">
        <f t="shared" si="61"/>
        <v>94.693045766687916</v>
      </c>
      <c r="AS47" s="168" t="str">
        <f t="shared" si="62"/>
        <v>98.4549747592989+440.678515217876i</v>
      </c>
      <c r="AT47" s="190">
        <f t="shared" si="63"/>
        <v>53.093979192222946</v>
      </c>
      <c r="AU47" s="169">
        <f t="shared" si="64"/>
        <v>77.405986562984864</v>
      </c>
      <c r="AV47" s="225"/>
      <c r="AX47">
        <f t="shared" si="65"/>
        <v>0</v>
      </c>
      <c r="AY47">
        <f t="shared" si="66"/>
        <v>0</v>
      </c>
    </row>
    <row r="48" spans="1:51" x14ac:dyDescent="0.3">
      <c r="A48" s="98" t="s">
        <v>245</v>
      </c>
      <c r="B48" s="211">
        <f>2*PI()*Fsw</f>
        <v>2796017.4616949158</v>
      </c>
      <c r="C48" s="98" t="s">
        <v>251</v>
      </c>
      <c r="N48" s="170">
        <v>30</v>
      </c>
      <c r="O48" s="199">
        <f t="shared" si="41"/>
        <v>19.952623149688804</v>
      </c>
      <c r="P48" s="189" t="str">
        <f t="shared" si="32"/>
        <v>108.75</v>
      </c>
      <c r="Q48" s="160" t="str">
        <f t="shared" si="33"/>
        <v>1+0.318178980621865i</v>
      </c>
      <c r="R48" s="160">
        <f t="shared" si="42"/>
        <v>1.0493988106099459</v>
      </c>
      <c r="S48" s="160">
        <f t="shared" si="43"/>
        <v>0.30805020432557134</v>
      </c>
      <c r="T48" s="160" t="str">
        <f t="shared" si="34"/>
        <v>1+0.0000117844066896987i</v>
      </c>
      <c r="U48" s="160">
        <f t="shared" si="44"/>
        <v>1.000000000069436</v>
      </c>
      <c r="V48" s="160">
        <f t="shared" si="45"/>
        <v>1.178440668915319E-5</v>
      </c>
      <c r="W48" s="98" t="str">
        <f t="shared" si="35"/>
        <v>1-0.0000936066346983163i</v>
      </c>
      <c r="X48" s="160">
        <f t="shared" si="46"/>
        <v>1.000000004381101</v>
      </c>
      <c r="Y48" s="160">
        <f t="shared" si="47"/>
        <v>-9.3606634424916218E-5</v>
      </c>
      <c r="Z48" s="98" t="str">
        <f t="shared" si="36"/>
        <v>0.999999991958446+0.000180558279241811i</v>
      </c>
      <c r="AA48" s="160">
        <f t="shared" si="48"/>
        <v>1.0000000082590921</v>
      </c>
      <c r="AB48" s="160">
        <f t="shared" si="49"/>
        <v>1.8055827873163574E-4</v>
      </c>
      <c r="AC48" s="171" t="str">
        <f t="shared" si="50"/>
        <v>98.7442591152981-31.4468815872091i</v>
      </c>
      <c r="AD48" s="190">
        <f t="shared" si="51"/>
        <v>40.309773926800084</v>
      </c>
      <c r="AE48" s="169">
        <f t="shared" si="52"/>
        <v>-17.665009881644973</v>
      </c>
      <c r="AF48" s="98" t="str">
        <f t="shared" si="37"/>
        <v>-0.0000366300366300366</v>
      </c>
      <c r="AG48" s="98" t="str">
        <f t="shared" si="38"/>
        <v>0.0000086502559743533i</v>
      </c>
      <c r="AH48" s="98">
        <f t="shared" si="53"/>
        <v>8.6502559743532997E-6</v>
      </c>
      <c r="AI48" s="98">
        <f t="shared" si="54"/>
        <v>1.5707963267948966</v>
      </c>
      <c r="AJ48" s="98" t="str">
        <f t="shared" si="39"/>
        <v>1+0.00123549129648399i</v>
      </c>
      <c r="AK48" s="98">
        <f t="shared" si="55"/>
        <v>1.0000007632190806</v>
      </c>
      <c r="AL48" s="98">
        <f t="shared" si="56"/>
        <v>1.2354906678506382E-3</v>
      </c>
      <c r="AM48" s="98" t="str">
        <f t="shared" si="40"/>
        <v>1+0.0852488994573947i</v>
      </c>
      <c r="AN48" s="98">
        <f t="shared" si="57"/>
        <v>1.0036271094678026</v>
      </c>
      <c r="AO48" s="98">
        <f t="shared" si="58"/>
        <v>8.5043283386050189E-2</v>
      </c>
      <c r="AP48" s="168" t="str">
        <f t="shared" si="59"/>
        <v>-0.355759359028832+4.23500054233414i</v>
      </c>
      <c r="AQ48" s="98">
        <f t="shared" si="60"/>
        <v>12.567608922920714</v>
      </c>
      <c r="AR48" s="169">
        <f t="shared" si="61"/>
        <v>94.801832813060059</v>
      </c>
      <c r="AS48" s="168" t="str">
        <f t="shared" si="62"/>
        <v>98.0483662459127+429.369513342591i</v>
      </c>
      <c r="AT48" s="190">
        <f t="shared" si="63"/>
        <v>52.877382849720789</v>
      </c>
      <c r="AU48" s="169">
        <f t="shared" si="64"/>
        <v>77.136822931415082</v>
      </c>
      <c r="AV48" s="225"/>
      <c r="AX48">
        <f t="shared" si="65"/>
        <v>0</v>
      </c>
      <c r="AY48">
        <f t="shared" si="66"/>
        <v>0</v>
      </c>
    </row>
    <row r="49" spans="1:51" x14ac:dyDescent="0.3">
      <c r="A49" s="98" t="s">
        <v>246</v>
      </c>
      <c r="B49" s="211">
        <f>1/(PI()*(((VIN_var/VOUT)*(1+(B45/B46)))-0.5))</f>
        <v>0.49665244463823455</v>
      </c>
      <c r="N49" s="170">
        <v>31</v>
      </c>
      <c r="O49" s="199">
        <f t="shared" si="41"/>
        <v>20.4173794466953</v>
      </c>
      <c r="P49" s="189" t="str">
        <f t="shared" si="32"/>
        <v>108.75</v>
      </c>
      <c r="Q49" s="160" t="str">
        <f t="shared" si="33"/>
        <v>1+0.325590321161387i</v>
      </c>
      <c r="R49" s="160">
        <f t="shared" si="42"/>
        <v>1.0516696521408113</v>
      </c>
      <c r="S49" s="160">
        <f t="shared" si="43"/>
        <v>0.31476573170135269</v>
      </c>
      <c r="T49" s="160" t="str">
        <f t="shared" si="34"/>
        <v>1+0.0000120589007837551i</v>
      </c>
      <c r="U49" s="160">
        <f t="shared" si="44"/>
        <v>1.0000000000727085</v>
      </c>
      <c r="V49" s="160">
        <f t="shared" si="45"/>
        <v>1.2058900783170575E-5</v>
      </c>
      <c r="W49" s="98" t="str">
        <f t="shared" si="35"/>
        <v>1-0.0000957870133177712i</v>
      </c>
      <c r="X49" s="160">
        <f t="shared" si="46"/>
        <v>1.0000000045875759</v>
      </c>
      <c r="Y49" s="160">
        <f t="shared" si="47"/>
        <v>-9.5787013024817739E-5</v>
      </c>
      <c r="Z49" s="98" t="str">
        <f t="shared" si="36"/>
        <v>0.99999999157946+0.000184764021846416i</v>
      </c>
      <c r="AA49" s="160">
        <f t="shared" si="48"/>
        <v>1.0000000086483318</v>
      </c>
      <c r="AB49" s="160">
        <f t="shared" si="49"/>
        <v>1.8476402129975324E-4</v>
      </c>
      <c r="AC49" s="171" t="str">
        <f t="shared" si="50"/>
        <v>98.3179009069482-32.0405554512621i</v>
      </c>
      <c r="AD49" s="190">
        <f t="shared" si="51"/>
        <v>40.290998443192251</v>
      </c>
      <c r="AE49" s="169">
        <f t="shared" si="52"/>
        <v>-18.05013142791914</v>
      </c>
      <c r="AF49" s="98" t="str">
        <f t="shared" si="37"/>
        <v>-0.0000366300366300366</v>
      </c>
      <c r="AG49" s="98" t="str">
        <f t="shared" si="38"/>
        <v>8.85174631999046E-06i</v>
      </c>
      <c r="AH49" s="98">
        <f t="shared" si="53"/>
        <v>8.8517463199904596E-6</v>
      </c>
      <c r="AI49" s="98">
        <f t="shared" si="54"/>
        <v>1.5707963267948966</v>
      </c>
      <c r="AJ49" s="98" t="str">
        <f t="shared" si="39"/>
        <v>1+0.00126426958571592i</v>
      </c>
      <c r="AK49" s="98">
        <f t="shared" si="55"/>
        <v>1.0000007991884734</v>
      </c>
      <c r="AL49" s="98">
        <f t="shared" si="56"/>
        <v>1.2642689121231767E-3</v>
      </c>
      <c r="AM49" s="98" t="str">
        <f t="shared" si="40"/>
        <v>1+0.0872346014143983i</v>
      </c>
      <c r="AN49" s="98">
        <f t="shared" si="57"/>
        <v>1.0037977264787608</v>
      </c>
      <c r="AO49" s="98">
        <f t="shared" si="58"/>
        <v>8.7014324818873487E-2</v>
      </c>
      <c r="AP49" s="168" t="str">
        <f t="shared" si="59"/>
        <v>-0.355759333435955+4.13862040394743i</v>
      </c>
      <c r="AQ49" s="98">
        <f t="shared" si="60"/>
        <v>12.369085089717917</v>
      </c>
      <c r="AR49" s="169">
        <f t="shared" si="61"/>
        <v>94.913116296467635</v>
      </c>
      <c r="AS49" s="168" t="str">
        <f t="shared" si="62"/>
        <v>97.6261856529242+418.299197417036i</v>
      </c>
      <c r="AT49" s="190">
        <f t="shared" si="63"/>
        <v>52.660083532910164</v>
      </c>
      <c r="AU49" s="169">
        <f t="shared" si="64"/>
        <v>76.862984868548494</v>
      </c>
      <c r="AV49" s="225"/>
      <c r="AX49">
        <f t="shared" si="65"/>
        <v>0</v>
      </c>
      <c r="AY49">
        <f t="shared" si="66"/>
        <v>0</v>
      </c>
    </row>
    <row r="50" spans="1:51" x14ac:dyDescent="0.3">
      <c r="A50" s="98" t="s">
        <v>544</v>
      </c>
      <c r="B50" s="209">
        <f>2*Fsw*((1-1/(B20/B17))/Dc_VIN_nom)^2</f>
        <v>890000</v>
      </c>
      <c r="C50" s="98" t="s">
        <v>251</v>
      </c>
      <c r="E50" s="98" t="s">
        <v>545</v>
      </c>
      <c r="N50" s="170">
        <v>32</v>
      </c>
      <c r="O50" s="199">
        <f t="shared" si="41"/>
        <v>20.8929613085404</v>
      </c>
      <c r="P50" s="189" t="str">
        <f t="shared" si="32"/>
        <v>108.75</v>
      </c>
      <c r="Q50" s="160" t="str">
        <f t="shared" si="33"/>
        <v>1+0.333174293998889i</v>
      </c>
      <c r="R50" s="160">
        <f t="shared" si="42"/>
        <v>1.0540422715345235</v>
      </c>
      <c r="S50" s="160">
        <f t="shared" si="43"/>
        <v>0.32160741216704641</v>
      </c>
      <c r="T50" s="160" t="str">
        <f t="shared" si="34"/>
        <v>1+0.0000123397886666256i</v>
      </c>
      <c r="U50" s="160">
        <f t="shared" si="44"/>
        <v>1.0000000000761351</v>
      </c>
      <c r="V50" s="160">
        <f t="shared" si="45"/>
        <v>1.2339788665999271E-5</v>
      </c>
      <c r="W50" s="98" t="str">
        <f t="shared" si="35"/>
        <v>1-0.0000980181794795791i</v>
      </c>
      <c r="X50" s="160">
        <f t="shared" si="46"/>
        <v>1.0000000048037816</v>
      </c>
      <c r="Y50" s="160">
        <f t="shared" si="47"/>
        <v>-9.8018179165673816E-5</v>
      </c>
      <c r="Z50" s="98" t="str">
        <f t="shared" si="36"/>
        <v>0.999999991182612+0.000189067728781046i</v>
      </c>
      <c r="AA50" s="160">
        <f t="shared" si="48"/>
        <v>1.0000000090559151</v>
      </c>
      <c r="AB50" s="160">
        <f t="shared" si="49"/>
        <v>1.8906772819528631E-4</v>
      </c>
      <c r="AC50" s="171" t="str">
        <f t="shared" si="50"/>
        <v>97.8753739744759-32.6394372637306i</v>
      </c>
      <c r="AD50" s="190">
        <f t="shared" si="51"/>
        <v>40.271424710987688</v>
      </c>
      <c r="AE50" s="169">
        <f t="shared" si="52"/>
        <v>-18.442489170334873</v>
      </c>
      <c r="AF50" s="98" t="str">
        <f t="shared" si="37"/>
        <v>-0.0000366300366300366</v>
      </c>
      <c r="AG50" s="98" t="str">
        <f t="shared" si="38"/>
        <v>9.05792997869319E-06i</v>
      </c>
      <c r="AH50" s="98">
        <f t="shared" si="53"/>
        <v>9.05792997869319E-6</v>
      </c>
      <c r="AI50" s="98">
        <f t="shared" si="54"/>
        <v>1.5707963267948966</v>
      </c>
      <c r="AJ50" s="98" t="str">
        <f t="shared" si="39"/>
        <v>1+0.0012937182074168i</v>
      </c>
      <c r="AK50" s="98">
        <f t="shared" si="55"/>
        <v>1.00000083685305</v>
      </c>
      <c r="AL50" s="98">
        <f t="shared" si="56"/>
        <v>1.2937174856492044E-3</v>
      </c>
      <c r="AM50" s="98" t="str">
        <f t="shared" si="40"/>
        <v>1+0.0892665563117591i</v>
      </c>
      <c r="AN50" s="98">
        <f t="shared" si="57"/>
        <v>1.0039763533449184</v>
      </c>
      <c r="AO50" s="98">
        <f t="shared" si="58"/>
        <v>8.9030576146591614E-2</v>
      </c>
      <c r="AP50" s="168" t="str">
        <f t="shared" si="59"/>
        <v>-0.355759306636931+4.04443461687696i</v>
      </c>
      <c r="AQ50" s="98">
        <f t="shared" si="60"/>
        <v>12.170630288297581</v>
      </c>
      <c r="AR50" s="169">
        <f t="shared" si="61"/>
        <v>95.02695170900779</v>
      </c>
      <c r="AS50" s="168" t="str">
        <f t="shared" si="62"/>
        <v>97.187994762826+407.462334212113i</v>
      </c>
      <c r="AT50" s="190">
        <f t="shared" si="63"/>
        <v>52.442054999285261</v>
      </c>
      <c r="AU50" s="169">
        <f t="shared" si="64"/>
        <v>76.584462538672923</v>
      </c>
      <c r="AV50" s="225"/>
      <c r="AX50">
        <f t="shared" si="65"/>
        <v>0</v>
      </c>
      <c r="AY50">
        <f t="shared" si="66"/>
        <v>0</v>
      </c>
    </row>
    <row r="51" spans="1:51" x14ac:dyDescent="0.3">
      <c r="N51" s="170">
        <v>33</v>
      </c>
      <c r="O51" s="199">
        <f t="shared" si="41"/>
        <v>21.379620895022335</v>
      </c>
      <c r="P51" s="189" t="str">
        <f t="shared" si="32"/>
        <v>108.75</v>
      </c>
      <c r="Q51" s="160" t="str">
        <f t="shared" si="33"/>
        <v>1+0.34093492025715i</v>
      </c>
      <c r="R51" s="160">
        <f t="shared" si="42"/>
        <v>1.056520998300909</v>
      </c>
      <c r="S51" s="160">
        <f t="shared" si="43"/>
        <v>0.32857631040492619</v>
      </c>
      <c r="T51" s="160" t="str">
        <f t="shared" si="34"/>
        <v>1+0.0000126272192687834i</v>
      </c>
      <c r="U51" s="160">
        <f t="shared" si="44"/>
        <v>1.0000000000797233</v>
      </c>
      <c r="V51" s="160">
        <f t="shared" si="45"/>
        <v>1.2627219268112278E-5</v>
      </c>
      <c r="W51" s="98" t="str">
        <f t="shared" si="35"/>
        <v>1-0.00010030131617757i</v>
      </c>
      <c r="X51" s="160">
        <f t="shared" si="46"/>
        <v>1.0000000050301769</v>
      </c>
      <c r="Y51" s="160">
        <f t="shared" si="47"/>
        <v>-1.0030131584121442E-4</v>
      </c>
      <c r="Z51" s="98" t="str">
        <f t="shared" si="36"/>
        <v>0.999999990767061+0.000193471681928082i</v>
      </c>
      <c r="AA51" s="160">
        <f t="shared" si="48"/>
        <v>1.0000000094827071</v>
      </c>
      <c r="AB51" s="160">
        <f t="shared" si="49"/>
        <v>1.9347168130042926E-4</v>
      </c>
      <c r="AC51" s="171" t="str">
        <f t="shared" si="50"/>
        <v>97.4162371516415-33.2431716478538i</v>
      </c>
      <c r="AD51" s="190">
        <f t="shared" si="51"/>
        <v>40.251022613456449</v>
      </c>
      <c r="AE51" s="169">
        <f t="shared" si="52"/>
        <v>-18.842144300682836</v>
      </c>
      <c r="AF51" s="98" t="str">
        <f t="shared" si="37"/>
        <v>-0.0000366300366300366</v>
      </c>
      <c r="AG51" s="98" t="str">
        <f t="shared" si="38"/>
        <v>9.26891627176651E-06i</v>
      </c>
      <c r="AH51" s="98">
        <f t="shared" si="53"/>
        <v>9.2689162717665103E-6</v>
      </c>
      <c r="AI51" s="98">
        <f t="shared" si="54"/>
        <v>1.5707963267948966</v>
      </c>
      <c r="AJ51" s="98" t="str">
        <f t="shared" si="39"/>
        <v>1+0.00132385277563563i</v>
      </c>
      <c r="AK51" s="98">
        <f t="shared" si="55"/>
        <v>1.0000008762927017</v>
      </c>
      <c r="AL51" s="98">
        <f t="shared" si="56"/>
        <v>1.323852002247754E-3</v>
      </c>
      <c r="AM51" s="98" t="str">
        <f t="shared" si="40"/>
        <v>1+0.0913458415188582i</v>
      </c>
      <c r="AN51" s="98">
        <f t="shared" si="57"/>
        <v>1.0041633645790851</v>
      </c>
      <c r="AO51" s="98">
        <f t="shared" si="58"/>
        <v>9.1093040803168615E-2</v>
      </c>
      <c r="AP51" s="168" t="str">
        <f t="shared" si="59"/>
        <v>-0.355759278574909+3.9523932425715i</v>
      </c>
      <c r="AQ51" s="98">
        <f t="shared" si="60"/>
        <v>11.972247720559761</v>
      </c>
      <c r="AR51" s="169">
        <f t="shared" si="61"/>
        <v>95.143395648605789</v>
      </c>
      <c r="AS51" s="168" t="str">
        <f t="shared" si="62"/>
        <v>96.7333567320716+396.853844197873i</v>
      </c>
      <c r="AT51" s="190">
        <f t="shared" si="63"/>
        <v>52.223270334016206</v>
      </c>
      <c r="AU51" s="169">
        <f t="shared" si="64"/>
        <v>76.301251347922971</v>
      </c>
      <c r="AV51" s="225"/>
      <c r="AX51">
        <f t="shared" si="65"/>
        <v>0</v>
      </c>
      <c r="AY51">
        <f t="shared" si="66"/>
        <v>0</v>
      </c>
    </row>
    <row r="52" spans="1:51" x14ac:dyDescent="0.3">
      <c r="N52" s="170">
        <v>34</v>
      </c>
      <c r="O52" s="199">
        <f t="shared" si="41"/>
        <v>21.877616239495538</v>
      </c>
      <c r="P52" s="189" t="str">
        <f t="shared" si="32"/>
        <v>108.75</v>
      </c>
      <c r="Q52" s="160" t="str">
        <f t="shared" si="33"/>
        <v>1+0.34887631472294i</v>
      </c>
      <c r="R52" s="160">
        <f t="shared" si="42"/>
        <v>1.059110326158073</v>
      </c>
      <c r="S52" s="160">
        <f t="shared" si="43"/>
        <v>0.33567341293288766</v>
      </c>
      <c r="T52" s="160" t="str">
        <f t="shared" si="34"/>
        <v>1+0.0000129213449897386i</v>
      </c>
      <c r="U52" s="160">
        <f t="shared" si="44"/>
        <v>1.0000000000834806</v>
      </c>
      <c r="V52" s="160">
        <f t="shared" si="45"/>
        <v>1.2921344989019479E-5</v>
      </c>
      <c r="W52" s="98" t="str">
        <f t="shared" si="35"/>
        <v>1-0.000102637633961044i</v>
      </c>
      <c r="X52" s="160">
        <f t="shared" si="46"/>
        <v>1.000000005267242</v>
      </c>
      <c r="Y52" s="160">
        <f t="shared" si="47"/>
        <v>-1.0263763360063249E-4</v>
      </c>
      <c r="Z52" s="98" t="str">
        <f t="shared" si="36"/>
        <v>0.999999990331926+0.000197978216321778i</v>
      </c>
      <c r="AA52" s="160">
        <f t="shared" si="48"/>
        <v>1.0000000099296131</v>
      </c>
      <c r="AB52" s="160">
        <f t="shared" si="49"/>
        <v>1.9797821564923598E-4</v>
      </c>
      <c r="AC52" s="171" t="str">
        <f t="shared" si="50"/>
        <v>96.9400520797216-33.8513748953867i</v>
      </c>
      <c r="AD52" s="190">
        <f t="shared" si="51"/>
        <v>40.229761225550646</v>
      </c>
      <c r="AE52" s="169">
        <f t="shared" si="52"/>
        <v>-19.249153536689843</v>
      </c>
      <c r="AF52" s="98" t="str">
        <f t="shared" si="37"/>
        <v>-0.0000366300366300366</v>
      </c>
      <c r="AG52" s="98" t="str">
        <f t="shared" si="38"/>
        <v>9.48481706693572E-06i</v>
      </c>
      <c r="AH52" s="98">
        <f t="shared" si="53"/>
        <v>9.4848170669357208E-6</v>
      </c>
      <c r="AI52" s="98">
        <f t="shared" si="54"/>
        <v>1.5707963267948966</v>
      </c>
      <c r="AJ52" s="98" t="str">
        <f t="shared" si="39"/>
        <v>1+0.00135468926811937i</v>
      </c>
      <c r="AK52" s="98">
        <f t="shared" si="55"/>
        <v>1.0000009175910856</v>
      </c>
      <c r="AL52" s="98">
        <f t="shared" si="56"/>
        <v>1.3546884394193715E-3</v>
      </c>
      <c r="AM52" s="98" t="str">
        <f t="shared" si="40"/>
        <v>1+0.093473559500236i</v>
      </c>
      <c r="AN52" s="98">
        <f t="shared" si="57"/>
        <v>1.0043591520594832</v>
      </c>
      <c r="AO52" s="98">
        <f t="shared" si="58"/>
        <v>9.3202742109993672E-2</v>
      </c>
      <c r="AP52" s="168" t="str">
        <f t="shared" si="59"/>
        <v>-0.35575924919037+3.86244747947586i</v>
      </c>
      <c r="AQ52" s="98">
        <f t="shared" si="60"/>
        <v>11.773940734401629</v>
      </c>
      <c r="AR52" s="169">
        <f t="shared" si="61"/>
        <v>95.262505831814948</v>
      </c>
      <c r="AS52" s="168" t="str">
        <f t="shared" si="62"/>
        <v>96.2618374971216+386.468799532424i</v>
      </c>
      <c r="AT52" s="190">
        <f t="shared" si="63"/>
        <v>52.003701959952274</v>
      </c>
      <c r="AU52" s="169">
        <f t="shared" si="64"/>
        <v>76.013352295125117</v>
      </c>
      <c r="AV52" s="225"/>
      <c r="AX52">
        <f t="shared" si="65"/>
        <v>0</v>
      </c>
      <c r="AY52">
        <f t="shared" si="66"/>
        <v>0</v>
      </c>
    </row>
    <row r="53" spans="1:51" ht="16.2" x14ac:dyDescent="0.3">
      <c r="A53" s="212" t="s">
        <v>261</v>
      </c>
      <c r="N53" s="170">
        <v>35</v>
      </c>
      <c r="O53" s="199">
        <f t="shared" si="41"/>
        <v>22.387211385683404</v>
      </c>
      <c r="P53" s="189" t="str">
        <f t="shared" si="32"/>
        <v>108.75</v>
      </c>
      <c r="Q53" s="160" t="str">
        <f t="shared" si="33"/>
        <v>1+0.35700268802872i</v>
      </c>
      <c r="R53" s="160">
        <f t="shared" si="42"/>
        <v>1.0618149176102827</v>
      </c>
      <c r="S53" s="160">
        <f t="shared" si="43"/>
        <v>0.34289962202241681</v>
      </c>
      <c r="T53" s="160" t="str">
        <f t="shared" si="34"/>
        <v>1+0.0000132223217788415i</v>
      </c>
      <c r="U53" s="160">
        <f t="shared" si="44"/>
        <v>1.000000000087415</v>
      </c>
      <c r="V53" s="160">
        <f t="shared" si="45"/>
        <v>1.3222321778070948E-5</v>
      </c>
      <c r="W53" s="98" t="str">
        <f t="shared" si="35"/>
        <v>1-0.000105028371576614i</v>
      </c>
      <c r="X53" s="160">
        <f t="shared" si="46"/>
        <v>1.0000000055154794</v>
      </c>
      <c r="Y53" s="160">
        <f t="shared" si="47"/>
        <v>-1.0502837119042612E-4</v>
      </c>
      <c r="Z53" s="98" t="str">
        <f t="shared" si="36"/>
        <v>0.999999989876284+0.000202589721386319i</v>
      </c>
      <c r="AA53" s="160">
        <f t="shared" si="48"/>
        <v>1.0000000103975817</v>
      </c>
      <c r="AB53" s="160">
        <f t="shared" si="49"/>
        <v>2.0258972066567715E-4</v>
      </c>
      <c r="AC53" s="171" t="str">
        <f t="shared" si="50"/>
        <v>96.4463847381815-34.4636341415629i</v>
      </c>
      <c r="AD53" s="190">
        <f t="shared" si="51"/>
        <v>40.207608820452727</v>
      </c>
      <c r="AE53" s="169">
        <f t="shared" si="52"/>
        <v>-19.663568773647619</v>
      </c>
      <c r="AF53" s="98" t="str">
        <f t="shared" si="37"/>
        <v>-0.0000366300366300366</v>
      </c>
      <c r="AG53" s="98" t="str">
        <f t="shared" si="38"/>
        <v>9.70574683766022E-06i</v>
      </c>
      <c r="AH53" s="98">
        <f t="shared" si="53"/>
        <v>9.7057468376602195E-6</v>
      </c>
      <c r="AI53" s="98">
        <f t="shared" si="54"/>
        <v>1.5707963267948966</v>
      </c>
      <c r="AJ53" s="98" t="str">
        <f t="shared" si="39"/>
        <v>1+0.00138624403478449i</v>
      </c>
      <c r="AK53" s="98">
        <f t="shared" si="55"/>
        <v>1.0000009608358005</v>
      </c>
      <c r="AL53" s="98">
        <f t="shared" si="56"/>
        <v>1.3862431468164894E-3</v>
      </c>
      <c r="AM53" s="98" t="str">
        <f t="shared" si="40"/>
        <v>1+0.0956508384001298i</v>
      </c>
      <c r="AN53" s="98">
        <f t="shared" si="57"/>
        <v>1.0045641258210687</v>
      </c>
      <c r="AO53" s="98">
        <f t="shared" si="58"/>
        <v>9.5360723497604619E-2</v>
      </c>
      <c r="AP53" s="168" t="str">
        <f t="shared" si="59"/>
        <v>-0.355759218420987+3.7745496371556i</v>
      </c>
      <c r="AQ53" s="98">
        <f t="shared" si="60"/>
        <v>11.57571283013392</v>
      </c>
      <c r="AR53" s="169">
        <f t="shared" si="61"/>
        <v>95.384341106035251</v>
      </c>
      <c r="AS53" s="168" t="str">
        <f t="shared" si="62"/>
        <v>95.7730072901144+376.302422064622i</v>
      </c>
      <c r="AT53" s="190">
        <f t="shared" si="63"/>
        <v>51.783321650586643</v>
      </c>
      <c r="AU53" s="169">
        <f t="shared" si="64"/>
        <v>75.720772332387654</v>
      </c>
      <c r="AV53" s="225"/>
      <c r="AX53">
        <f t="shared" si="65"/>
        <v>0</v>
      </c>
      <c r="AY53">
        <f t="shared" si="66"/>
        <v>0</v>
      </c>
    </row>
    <row r="54" spans="1:51" x14ac:dyDescent="0.3">
      <c r="A54" s="98" t="s">
        <v>226</v>
      </c>
      <c r="N54" s="170">
        <v>36</v>
      </c>
      <c r="O54" s="199">
        <f t="shared" si="41"/>
        <v>22.908676527677727</v>
      </c>
      <c r="P54" s="189" t="str">
        <f t="shared" si="32"/>
        <v>108.75</v>
      </c>
      <c r="Q54" s="160" t="str">
        <f t="shared" si="33"/>
        <v>1+0.365318348885181i</v>
      </c>
      <c r="R54" s="160">
        <f t="shared" si="42"/>
        <v>1.0646396085212098</v>
      </c>
      <c r="S54" s="160">
        <f t="shared" si="43"/>
        <v>0.35025574944848498</v>
      </c>
      <c r="T54" s="160" t="str">
        <f t="shared" si="34"/>
        <v>1+0.0000135303092179697i</v>
      </c>
      <c r="U54" s="160">
        <f t="shared" si="44"/>
        <v>1.0000000000915348</v>
      </c>
      <c r="V54" s="160">
        <f t="shared" si="45"/>
        <v>1.3530309217144039E-5</v>
      </c>
      <c r="W54" s="98" t="str">
        <f t="shared" si="35"/>
        <v>1-0.000107474796625008i</v>
      </c>
      <c r="X54" s="160">
        <f t="shared" si="46"/>
        <v>1.0000000057754159</v>
      </c>
      <c r="Y54" s="160">
        <f t="shared" si="47"/>
        <v>-1.0747479621120024E-4</v>
      </c>
      <c r="Z54" s="98" t="str">
        <f t="shared" si="36"/>
        <v>0.999999989399168+0.000207308642202731i</v>
      </c>
      <c r="AA54" s="160">
        <f t="shared" si="48"/>
        <v>1.0000000108876046</v>
      </c>
      <c r="AB54" s="160">
        <f t="shared" si="49"/>
        <v>2.0730864143054937E-4</v>
      </c>
      <c r="AC54" s="171" t="str">
        <f t="shared" si="50"/>
        <v>95.9348070874247-35.0795066028525i</v>
      </c>
      <c r="AD54" s="190">
        <f t="shared" si="51"/>
        <v>40.184532879039303</v>
      </c>
      <c r="AE54" s="169">
        <f t="shared" si="52"/>
        <v>-20.085436726413636</v>
      </c>
      <c r="AF54" s="98" t="str">
        <f t="shared" si="37"/>
        <v>-0.0000366300366300366</v>
      </c>
      <c r="AG54" s="98" t="str">
        <f t="shared" si="38"/>
        <v>9.93182272382878E-06i</v>
      </c>
      <c r="AH54" s="98">
        <f t="shared" si="53"/>
        <v>9.9318227238287801E-6</v>
      </c>
      <c r="AI54" s="98">
        <f t="shared" si="54"/>
        <v>1.5707963267948966</v>
      </c>
      <c r="AJ54" s="98" t="str">
        <f t="shared" si="39"/>
        <v>1+0.00141853380638597i</v>
      </c>
      <c r="AK54" s="98">
        <f t="shared" si="55"/>
        <v>1.0000010061185738</v>
      </c>
      <c r="AL54" s="98">
        <f t="shared" si="56"/>
        <v>1.4185328549111667E-3</v>
      </c>
      <c r="AM54" s="98" t="str">
        <f t="shared" si="40"/>
        <v>1+0.0978788326406316i</v>
      </c>
      <c r="AN54" s="98">
        <f t="shared" si="57"/>
        <v>1.0047787148815865</v>
      </c>
      <c r="AO54" s="98">
        <f t="shared" si="58"/>
        <v>9.7568048716236838E-2</v>
      </c>
      <c r="AP54" s="168" t="str">
        <f t="shared" si="59"/>
        <v>-0.355759186201492+3.68865311101106i</v>
      </c>
      <c r="AQ54" s="98">
        <f t="shared" si="60"/>
        <v>11.377567667156701</v>
      </c>
      <c r="AR54" s="169">
        <f t="shared" si="61"/>
        <v>95.508961461080105</v>
      </c>
      <c r="AS54" s="168" t="str">
        <f t="shared" si="62"/>
        <v>95.2664422655255+366.350081338656i</v>
      </c>
      <c r="AT54" s="190">
        <f t="shared" si="63"/>
        <v>51.562100546196007</v>
      </c>
      <c r="AU54" s="169">
        <f t="shared" si="64"/>
        <v>75.423524734666501</v>
      </c>
      <c r="AV54" s="225"/>
      <c r="AX54">
        <f t="shared" si="65"/>
        <v>0</v>
      </c>
      <c r="AY54">
        <f t="shared" si="66"/>
        <v>0</v>
      </c>
    </row>
    <row r="55" spans="1:51" x14ac:dyDescent="0.3">
      <c r="A55" s="98" t="s">
        <v>224</v>
      </c>
      <c r="B55" s="187">
        <f>RFBT</f>
        <v>536000</v>
      </c>
      <c r="C55" s="206" t="s">
        <v>36</v>
      </c>
      <c r="E55" s="98" t="s">
        <v>227</v>
      </c>
      <c r="N55" s="170">
        <v>37</v>
      </c>
      <c r="O55" s="199">
        <f t="shared" si="41"/>
        <v>23.442288153199236</v>
      </c>
      <c r="P55" s="189" t="str">
        <f t="shared" si="32"/>
        <v>108.75</v>
      </c>
      <c r="Q55" s="160" t="str">
        <f t="shared" si="33"/>
        <v>1+0.373827706365782i</v>
      </c>
      <c r="R55" s="160">
        <f t="shared" si="42"/>
        <v>1.0675894126707615</v>
      </c>
      <c r="S55" s="160">
        <f t="shared" si="43"/>
        <v>0.35774251008580477</v>
      </c>
      <c r="T55" s="160" t="str">
        <f t="shared" si="34"/>
        <v>1+0.0000138454706061401i</v>
      </c>
      <c r="U55" s="160">
        <f t="shared" si="44"/>
        <v>1.0000000000958487</v>
      </c>
      <c r="V55" s="160">
        <f t="shared" si="45"/>
        <v>1.3845470605255388E-5</v>
      </c>
      <c r="W55" s="98" t="str">
        <f t="shared" si="35"/>
        <v>1-0.00010997820623317i</v>
      </c>
      <c r="X55" s="160">
        <f t="shared" si="46"/>
        <v>1.0000000060476029</v>
      </c>
      <c r="Y55" s="160">
        <f t="shared" si="47"/>
        <v>-1.0997820578976699E-4</v>
      </c>
      <c r="Z55" s="98" t="str">
        <f t="shared" si="36"/>
        <v>0.999999988899566+0.000212137480805293i</v>
      </c>
      <c r="AA55" s="160">
        <f t="shared" si="48"/>
        <v>1.0000000114007213</v>
      </c>
      <c r="AB55" s="160">
        <f t="shared" si="49"/>
        <v>2.121374799778855E-4</v>
      </c>
      <c r="AC55" s="171" t="str">
        <f t="shared" si="50"/>
        <v>95.4048988241724-35.6985188886915i</v>
      </c>
      <c r="AD55" s="190">
        <f t="shared" si="51"/>
        <v>40.16050010246687</v>
      </c>
      <c r="AE55" s="169">
        <f t="shared" si="52"/>
        <v>-20.514798562611265</v>
      </c>
      <c r="AF55" s="98" t="str">
        <f t="shared" si="37"/>
        <v>-0.0000366300366300366</v>
      </c>
      <c r="AG55" s="98" t="str">
        <f t="shared" si="38"/>
        <v>0.0000101631645938688i</v>
      </c>
      <c r="AH55" s="98">
        <f t="shared" si="53"/>
        <v>1.01631645938688E-5</v>
      </c>
      <c r="AI55" s="98">
        <f t="shared" si="54"/>
        <v>1.5707963267948966</v>
      </c>
      <c r="AJ55" s="98" t="str">
        <f t="shared" si="39"/>
        <v>1+0.00145157570338811i</v>
      </c>
      <c r="AK55" s="98">
        <f t="shared" si="55"/>
        <v>1.0000010535354564</v>
      </c>
      <c r="AL55" s="98">
        <f t="shared" si="56"/>
        <v>1.4515746838645479E-3</v>
      </c>
      <c r="AM55" s="98" t="str">
        <f t="shared" si="40"/>
        <v>1+0.100158723533779i</v>
      </c>
      <c r="AN55" s="98">
        <f t="shared" si="57"/>
        <v>1.0050033681037671</v>
      </c>
      <c r="AO55" s="98">
        <f t="shared" si="58"/>
        <v>9.9825802033874214E-2</v>
      </c>
      <c r="AP55" s="168" t="str">
        <f t="shared" si="59"/>
        <v>-0.355759152463543+3.6047123575667i</v>
      </c>
      <c r="AQ55" s="98">
        <f t="shared" si="60"/>
        <v>11.17950907090137</v>
      </c>
      <c r="AR55" s="169">
        <f t="shared" si="61"/>
        <v>95.636428040015986</v>
      </c>
      <c r="AS55" s="168" t="str">
        <f t="shared" si="62"/>
        <v>94.7417262383369+356.60729258794i</v>
      </c>
      <c r="AT55" s="190">
        <f t="shared" si="63"/>
        <v>51.340009173368259</v>
      </c>
      <c r="AU55" s="169">
        <f t="shared" si="64"/>
        <v>75.121629477404724</v>
      </c>
      <c r="AV55" s="225"/>
      <c r="AX55">
        <f t="shared" si="65"/>
        <v>0</v>
      </c>
      <c r="AY55">
        <f t="shared" si="66"/>
        <v>0</v>
      </c>
    </row>
    <row r="56" spans="1:51" x14ac:dyDescent="0.3">
      <c r="A56" s="98" t="s">
        <v>225</v>
      </c>
      <c r="B56" s="187">
        <f>RFBB</f>
        <v>10000</v>
      </c>
      <c r="C56" s="206" t="s">
        <v>36</v>
      </c>
      <c r="E56" s="98" t="s">
        <v>228</v>
      </c>
      <c r="N56" s="170">
        <v>38</v>
      </c>
      <c r="O56" s="199">
        <f t="shared" si="41"/>
        <v>23.988329190194907</v>
      </c>
      <c r="P56" s="189" t="str">
        <f t="shared" si="32"/>
        <v>108.75</v>
      </c>
      <c r="Q56" s="160" t="str">
        <f t="shared" si="33"/>
        <v>1+0.382535272244491i</v>
      </c>
      <c r="R56" s="160">
        <f t="shared" si="42"/>
        <v>1.0706695262830481</v>
      </c>
      <c r="S56" s="160">
        <f t="shared" si="43"/>
        <v>0.36536051536832853</v>
      </c>
      <c r="T56" s="160" t="str">
        <f t="shared" si="34"/>
        <v>1+0.0000141679730460923i</v>
      </c>
      <c r="U56" s="160">
        <f t="shared" si="44"/>
        <v>1.0000000001003657</v>
      </c>
      <c r="V56" s="160">
        <f t="shared" si="45"/>
        <v>1.4167973045144315E-5</v>
      </c>
      <c r="W56" s="98" t="str">
        <f t="shared" si="35"/>
        <v>1-0.00011253992774201i</v>
      </c>
      <c r="X56" s="160">
        <f t="shared" si="46"/>
        <v>1.0000000063326175</v>
      </c>
      <c r="Y56" s="160">
        <f t="shared" si="47"/>
        <v>-1.1253992726689512E-4</v>
      </c>
      <c r="Z56" s="98" t="str">
        <f t="shared" si="36"/>
        <v>0.999999988376418+0.000217078797508148i</v>
      </c>
      <c r="AA56" s="160">
        <f t="shared" si="48"/>
        <v>1.0000000119380201</v>
      </c>
      <c r="AB56" s="160">
        <f t="shared" si="49"/>
        <v>2.1707879662156502E-4</v>
      </c>
      <c r="AC56" s="171" t="str">
        <f t="shared" si="50"/>
        <v>94.8562492491108-36.3201663989963i</v>
      </c>
      <c r="AD56" s="190">
        <f t="shared" si="51"/>
        <v>40.135476428086918</v>
      </c>
      <c r="AE56" s="169">
        <f t="shared" si="52"/>
        <v>-20.951689527997427</v>
      </c>
      <c r="AF56" s="98" t="str">
        <f t="shared" si="37"/>
        <v>-0.0000366300366300366</v>
      </c>
      <c r="AG56" s="98" t="str">
        <f t="shared" si="38"/>
        <v>0.0000103998951083018i</v>
      </c>
      <c r="AH56" s="98">
        <f t="shared" si="53"/>
        <v>1.03998951083018E-5</v>
      </c>
      <c r="AI56" s="98">
        <f t="shared" si="54"/>
        <v>1.5707963267948966</v>
      </c>
      <c r="AJ56" s="98" t="str">
        <f t="shared" si="39"/>
        <v>1+0.00148538724504205i</v>
      </c>
      <c r="AK56" s="98">
        <f t="shared" si="55"/>
        <v>1.0000011031870255</v>
      </c>
      <c r="AL56" s="98">
        <f t="shared" si="56"/>
        <v>1.4853861526029359E-3</v>
      </c>
      <c r="AM56" s="98" t="str">
        <f t="shared" si="40"/>
        <v>1+0.102491719907901i</v>
      </c>
      <c r="AN56" s="98">
        <f t="shared" si="57"/>
        <v>1.0052385550950977</v>
      </c>
      <c r="AO56" s="98">
        <f t="shared" si="58"/>
        <v>0.10213508842038638</v>
      </c>
      <c r="AP56" s="168" t="str">
        <f t="shared" si="59"/>
        <v>-0.355759117135581+3.52268287032376i</v>
      </c>
      <c r="AQ56" s="98">
        <f t="shared" si="60"/>
        <v>10.981541040049652</v>
      </c>
      <c r="AR56" s="169">
        <f t="shared" si="61"/>
        <v>95.766803149192285</v>
      </c>
      <c r="AS56" s="168" t="str">
        <f t="shared" si="62"/>
        <v>94.1984525333966+347.069714705328i</v>
      </c>
      <c r="AT56" s="190">
        <f t="shared" si="63"/>
        <v>51.117017468136567</v>
      </c>
      <c r="AU56" s="169">
        <f t="shared" si="64"/>
        <v>74.815113621194868</v>
      </c>
      <c r="AV56" s="225"/>
      <c r="AX56">
        <f t="shared" si="65"/>
        <v>0</v>
      </c>
      <c r="AY56">
        <f t="shared" si="66"/>
        <v>0</v>
      </c>
    </row>
    <row r="57" spans="1:51" x14ac:dyDescent="0.3">
      <c r="A57" s="98" t="s">
        <v>214</v>
      </c>
      <c r="B57" s="187">
        <f>RCOMP</f>
        <v>10000</v>
      </c>
      <c r="C57" s="206" t="s">
        <v>36</v>
      </c>
      <c r="E57" s="98" t="s">
        <v>221</v>
      </c>
      <c r="N57" s="170">
        <v>39</v>
      </c>
      <c r="O57" s="199">
        <f t="shared" si="41"/>
        <v>24.547089156850316</v>
      </c>
      <c r="P57" s="189" t="str">
        <f t="shared" si="32"/>
        <v>108.75</v>
      </c>
      <c r="Q57" s="160" t="str">
        <f t="shared" si="33"/>
        <v>1+0.391445663387997i</v>
      </c>
      <c r="R57" s="160">
        <f t="shared" si="42"/>
        <v>1.0738853325124005</v>
      </c>
      <c r="S57" s="160">
        <f t="shared" si="43"/>
        <v>0.37311026663146335</v>
      </c>
      <c r="T57" s="160" t="str">
        <f t="shared" si="34"/>
        <v>1+0.0000144979875328888i</v>
      </c>
      <c r="U57" s="160">
        <f t="shared" si="44"/>
        <v>1.0000000001050959</v>
      </c>
      <c r="V57" s="160">
        <f t="shared" si="45"/>
        <v>1.4497987531873015E-5</v>
      </c>
      <c r="W57" s="98" t="str">
        <f t="shared" si="35"/>
        <v>1-0.000115161319410181i</v>
      </c>
      <c r="X57" s="160">
        <f t="shared" si="46"/>
        <v>1.0000000066310646</v>
      </c>
      <c r="Y57" s="160">
        <f t="shared" si="47"/>
        <v>-1.1516131890108622E-4</v>
      </c>
      <c r="Z57" s="98" t="str">
        <f t="shared" si="36"/>
        <v>0.999999987828616+0.000222135212262821i</v>
      </c>
      <c r="AA57" s="160">
        <f t="shared" si="48"/>
        <v>1.0000000125006423</v>
      </c>
      <c r="AB57" s="160">
        <f t="shared" si="49"/>
        <v>2.2213521131283012E-4</v>
      </c>
      <c r="AC57" s="171" t="str">
        <f t="shared" si="50"/>
        <v>94.2884592453847-36.9439128198464i</v>
      </c>
      <c r="AD57" s="190">
        <f t="shared" si="51"/>
        <v>40.109427048894631</v>
      </c>
      <c r="AE57" s="169">
        <f t="shared" si="52"/>
        <v>-21.396138565112331</v>
      </c>
      <c r="AF57" s="98" t="str">
        <f t="shared" si="37"/>
        <v>-0.0000366300366300366</v>
      </c>
      <c r="AG57" s="98" t="str">
        <f t="shared" si="38"/>
        <v>0.0000106421397847801i</v>
      </c>
      <c r="AH57" s="98">
        <f t="shared" si="53"/>
        <v>1.0642139784780099E-5</v>
      </c>
      <c r="AI57" s="98">
        <f t="shared" si="54"/>
        <v>1.5707963267948966</v>
      </c>
      <c r="AJ57" s="98" t="str">
        <f t="shared" si="39"/>
        <v>1+0.00151998635867475i</v>
      </c>
      <c r="AK57" s="98">
        <f t="shared" si="55"/>
        <v>1.0000011551785981</v>
      </c>
      <c r="AL57" s="98">
        <f t="shared" si="56"/>
        <v>1.5199851881052225E-3</v>
      </c>
      <c r="AM57" s="98" t="str">
        <f t="shared" si="40"/>
        <v>1+0.104879058748557i</v>
      </c>
      <c r="AN57" s="98">
        <f t="shared" si="57"/>
        <v>1.0054847671466651</v>
      </c>
      <c r="AO57" s="98">
        <f t="shared" si="58"/>
        <v>0.10449703371624657</v>
      </c>
      <c r="AP57" s="168" t="str">
        <f t="shared" si="59"/>
        <v>-0.355759080142674+3.44252115616194i</v>
      </c>
      <c r="AQ57" s="98">
        <f t="shared" si="60"/>
        <v>10.783667754034321</v>
      </c>
      <c r="AR57" s="169">
        <f t="shared" si="61"/>
        <v>95.900150267376347</v>
      </c>
      <c r="AS57" s="168" t="str">
        <f t="shared" si="62"/>
        <v>93.6362259445155+337.733148175809i</v>
      </c>
      <c r="AT57" s="190">
        <f t="shared" si="63"/>
        <v>50.893094802928935</v>
      </c>
      <c r="AU57" s="169">
        <f t="shared" si="64"/>
        <v>74.504011702264009</v>
      </c>
      <c r="AV57" s="225"/>
      <c r="AX57">
        <f t="shared" si="65"/>
        <v>0</v>
      </c>
      <c r="AY57">
        <f t="shared" si="66"/>
        <v>0</v>
      </c>
    </row>
    <row r="58" spans="1:51" x14ac:dyDescent="0.3">
      <c r="A58" s="98" t="s">
        <v>219</v>
      </c>
      <c r="B58" s="187">
        <f>CCOMP</f>
        <v>6.8E-8</v>
      </c>
      <c r="C58" s="206" t="s">
        <v>193</v>
      </c>
      <c r="E58" s="98" t="s">
        <v>222</v>
      </c>
      <c r="N58" s="170">
        <v>40</v>
      </c>
      <c r="O58" s="199">
        <f t="shared" si="41"/>
        <v>25.118864315095799</v>
      </c>
      <c r="P58" s="189" t="str">
        <f t="shared" si="32"/>
        <v>108.75</v>
      </c>
      <c r="Q58" s="160" t="str">
        <f t="shared" si="33"/>
        <v>1+0.40056360420363i</v>
      </c>
      <c r="R58" s="160">
        <f t="shared" si="42"/>
        <v>1.0772424058737209</v>
      </c>
      <c r="S58" s="160">
        <f t="shared" si="43"/>
        <v>0.38099214835909889</v>
      </c>
      <c r="T58" s="160" t="str">
        <f t="shared" si="34"/>
        <v>1+0.0000148356890445789i</v>
      </c>
      <c r="U58" s="160">
        <f t="shared" si="44"/>
        <v>1.0000000001100489</v>
      </c>
      <c r="V58" s="160">
        <f t="shared" si="45"/>
        <v>1.4835689043490465E-5</v>
      </c>
      <c r="W58" s="98" t="str">
        <f t="shared" si="35"/>
        <v>1-0.000117843771134244i</v>
      </c>
      <c r="X58" s="160">
        <f t="shared" si="46"/>
        <v>1.000000006943577</v>
      </c>
      <c r="Y58" s="160">
        <f t="shared" si="47"/>
        <v>-1.1784377058873913E-4</v>
      </c>
      <c r="Z58" s="98" t="str">
        <f t="shared" si="36"/>
        <v>0.999999987254996+0.000227309406047343i</v>
      </c>
      <c r="AA58" s="160">
        <f t="shared" si="48"/>
        <v>1.0000000130897788</v>
      </c>
      <c r="AB58" s="160">
        <f t="shared" si="49"/>
        <v>2.2730940502940951E-4</v>
      </c>
      <c r="AC58" s="171" t="str">
        <f t="shared" si="50"/>
        <v>93.7011433653798-37.5691897302326i</v>
      </c>
      <c r="AD58" s="190">
        <f t="shared" si="51"/>
        <v>40.082316436713405</v>
      </c>
      <c r="AE58" s="169">
        <f t="shared" si="52"/>
        <v>-21.848167926478624</v>
      </c>
      <c r="AF58" s="98" t="str">
        <f t="shared" si="37"/>
        <v>-0.0000366300366300366</v>
      </c>
      <c r="AG58" s="98" t="str">
        <f t="shared" si="38"/>
        <v>0.0000108900270646377i</v>
      </c>
      <c r="AH58" s="98">
        <f t="shared" si="53"/>
        <v>1.08900270646377E-5</v>
      </c>
      <c r="AI58" s="98">
        <f t="shared" si="54"/>
        <v>1.5707963267948966</v>
      </c>
      <c r="AJ58" s="98" t="str">
        <f t="shared" si="39"/>
        <v>1+0.00155539138919421i</v>
      </c>
      <c r="AK58" s="98">
        <f t="shared" si="55"/>
        <v>1.0000012096204551</v>
      </c>
      <c r="AL58" s="98">
        <f t="shared" si="56"/>
        <v>1.5553901349064452E-3</v>
      </c>
      <c r="AM58" s="98" t="str">
        <f t="shared" si="40"/>
        <v>1+0.1073220058544i</v>
      </c>
      <c r="AN58" s="98">
        <f t="shared" si="57"/>
        <v>1.005742518212595</v>
      </c>
      <c r="AO58" s="98">
        <f t="shared" si="58"/>
        <v>0.10691278478420561</v>
      </c>
      <c r="AP58" s="168" t="str">
        <f t="shared" si="59"/>
        <v>-0.355759041406352+3.36418471227895i</v>
      </c>
      <c r="AQ58" s="98">
        <f t="shared" si="60"/>
        <v>10.585893580833044</v>
      </c>
      <c r="AR58" s="169">
        <f t="shared" si="61"/>
        <v>96.036534053899047</v>
      </c>
      <c r="AS58" s="168" t="str">
        <f t="shared" si="62"/>
        <v>93.0546648008092+328.59353295771i</v>
      </c>
      <c r="AT58" s="190">
        <f t="shared" si="63"/>
        <v>50.668210017546457</v>
      </c>
      <c r="AU58" s="169">
        <f t="shared" si="64"/>
        <v>74.188366127420437</v>
      </c>
      <c r="AV58" s="225"/>
      <c r="AX58">
        <f t="shared" si="65"/>
        <v>0</v>
      </c>
      <c r="AY58">
        <f t="shared" si="66"/>
        <v>0</v>
      </c>
    </row>
    <row r="59" spans="1:51" x14ac:dyDescent="0.3">
      <c r="A59" s="98" t="s">
        <v>220</v>
      </c>
      <c r="B59" s="187">
        <f>CHF</f>
        <v>1.0000000000000001E-9</v>
      </c>
      <c r="C59" s="206" t="s">
        <v>193</v>
      </c>
      <c r="E59" s="98" t="s">
        <v>223</v>
      </c>
      <c r="N59" s="170">
        <v>41</v>
      </c>
      <c r="O59" s="199">
        <f t="shared" si="41"/>
        <v>25.703957827688647</v>
      </c>
      <c r="P59" s="189" t="str">
        <f t="shared" si="32"/>
        <v>108.75</v>
      </c>
      <c r="Q59" s="160" t="str">
        <f t="shared" si="33"/>
        <v>1+0.409893929144295i</v>
      </c>
      <c r="R59" s="160">
        <f t="shared" si="42"/>
        <v>1.0807465166029213</v>
      </c>
      <c r="S59" s="160">
        <f t="shared" si="43"/>
        <v>0.38900642136035429</v>
      </c>
      <c r="T59" s="160" t="str">
        <f t="shared" si="34"/>
        <v>1+0.000015181256634974i</v>
      </c>
      <c r="U59" s="160">
        <f t="shared" si="44"/>
        <v>1.0000000001152354</v>
      </c>
      <c r="V59" s="160">
        <f t="shared" si="45"/>
        <v>1.5181256633807722E-5</v>
      </c>
      <c r="W59" s="98" t="str">
        <f t="shared" si="35"/>
        <v>1-0.000120588705185609i</v>
      </c>
      <c r="X59" s="160">
        <f t="shared" si="46"/>
        <v>1.0000000072708179</v>
      </c>
      <c r="Y59" s="160">
        <f t="shared" si="47"/>
        <v>-1.2058870460108999E-4</v>
      </c>
      <c r="Z59" s="98" t="str">
        <f t="shared" si="36"/>
        <v>0.999999986654343+0.000232604122287746i</v>
      </c>
      <c r="AA59" s="160">
        <f t="shared" si="48"/>
        <v>1.0000000137066818</v>
      </c>
      <c r="AB59" s="160">
        <f t="shared" si="49"/>
        <v>2.3260412119701051E-4</v>
      </c>
      <c r="AC59" s="171" t="str">
        <f t="shared" si="50"/>
        <v>93.0939320219556-38.1953963331856i</v>
      </c>
      <c r="AD59" s="190">
        <f t="shared" si="51"/>
        <v>40.054108369310612</v>
      </c>
      <c r="AE59" s="169">
        <f t="shared" si="52"/>
        <v>-22.307792783775763</v>
      </c>
      <c r="AF59" s="98" t="str">
        <f t="shared" si="37"/>
        <v>-0.0000366300366300366</v>
      </c>
      <c r="AG59" s="98" t="str">
        <f t="shared" si="38"/>
        <v>0.0000111436883809915i</v>
      </c>
      <c r="AH59" s="98">
        <f t="shared" si="53"/>
        <v>1.11436883809915E-5</v>
      </c>
      <c r="AI59" s="98">
        <f t="shared" si="54"/>
        <v>1.5707963267948966</v>
      </c>
      <c r="AJ59" s="98" t="str">
        <f t="shared" si="39"/>
        <v>1+0.00159162110881626i</v>
      </c>
      <c r="AK59" s="98">
        <f t="shared" si="55"/>
        <v>1.0000012666280749</v>
      </c>
      <c r="AL59" s="98">
        <f t="shared" si="56"/>
        <v>1.5916197648227976E-3</v>
      </c>
      <c r="AM59" s="98" t="str">
        <f t="shared" si="40"/>
        <v>1+0.109821856508322i</v>
      </c>
      <c r="AN59" s="98">
        <f t="shared" si="57"/>
        <v>1.0060123459316661</v>
      </c>
      <c r="AO59" s="98">
        <f t="shared" si="58"/>
        <v>0.10938350964220642</v>
      </c>
      <c r="AP59" s="168" t="str">
        <f t="shared" si="59"/>
        <v>-0.355759000844454+3.28763200365499i</v>
      </c>
      <c r="AQ59" s="98">
        <f t="shared" si="60"/>
        <v>10.388223085061828</v>
      </c>
      <c r="AR59" s="169">
        <f t="shared" si="61"/>
        <v>96.176020355713021</v>
      </c>
      <c r="AS59" s="168" t="str">
        <f t="shared" si="62"/>
        <v>92.453403136455+319.646946297815i</v>
      </c>
      <c r="AT59" s="190">
        <f t="shared" si="63"/>
        <v>50.442331454372429</v>
      </c>
      <c r="AU59" s="169">
        <f t="shared" si="64"/>
        <v>73.868227571937254</v>
      </c>
      <c r="AV59" s="225"/>
      <c r="AX59">
        <f t="shared" si="65"/>
        <v>0</v>
      </c>
      <c r="AY59">
        <f t="shared" si="66"/>
        <v>0</v>
      </c>
    </row>
    <row r="60" spans="1:51" x14ac:dyDescent="0.3">
      <c r="N60" s="170">
        <v>42</v>
      </c>
      <c r="O60" s="199">
        <f t="shared" si="41"/>
        <v>26.302679918953825</v>
      </c>
      <c r="P60" s="189" t="str">
        <f t="shared" si="32"/>
        <v>108.75</v>
      </c>
      <c r="Q60" s="160" t="str">
        <f t="shared" si="33"/>
        <v>1+0.419441585271781i</v>
      </c>
      <c r="R60" s="160">
        <f t="shared" si="42"/>
        <v>1.084403634932724</v>
      </c>
      <c r="S60" s="160">
        <f t="shared" si="43"/>
        <v>0.39715321590382402</v>
      </c>
      <c r="T60" s="160" t="str">
        <f t="shared" si="34"/>
        <v>1+0.0000155348735285845i</v>
      </c>
      <c r="U60" s="160">
        <f t="shared" si="44"/>
        <v>1.0000000001206661</v>
      </c>
      <c r="V60" s="160">
        <f t="shared" si="45"/>
        <v>1.553487352733481E-5</v>
      </c>
      <c r="W60" s="98" t="str">
        <f t="shared" si="35"/>
        <v>1-0.000123397576964643i</v>
      </c>
      <c r="X60" s="160">
        <f t="shared" si="46"/>
        <v>1.000000007613481</v>
      </c>
      <c r="Y60" s="160">
        <f t="shared" si="47"/>
        <v>-1.233975763383196E-4</v>
      </c>
      <c r="Z60" s="98" t="str">
        <f t="shared" si="36"/>
        <v>0.999999986025381+0.000238022168312666i</v>
      </c>
      <c r="AA60" s="160">
        <f t="shared" si="48"/>
        <v>1.0000000143526573</v>
      </c>
      <c r="AB60" s="160">
        <f t="shared" si="49"/>
        <v>2.3802216714392197E-4</v>
      </c>
      <c r="AC60" s="171" t="str">
        <f t="shared" si="50"/>
        <v>92.4664737789036-38.8218993249235i</v>
      </c>
      <c r="AD60" s="190">
        <f t="shared" si="51"/>
        <v>40.024765961631992</v>
      </c>
      <c r="AE60" s="169">
        <f t="shared" si="52"/>
        <v>-22.775020834582918</v>
      </c>
      <c r="AF60" s="98" t="str">
        <f t="shared" si="37"/>
        <v>-0.0000366300366300366</v>
      </c>
      <c r="AG60" s="98" t="str">
        <f t="shared" si="38"/>
        <v>0.0000114032582284291i</v>
      </c>
      <c r="AH60" s="98">
        <f t="shared" si="53"/>
        <v>1.14032582284291E-5</v>
      </c>
      <c r="AI60" s="98">
        <f t="shared" si="54"/>
        <v>1.5707963267948966</v>
      </c>
      <c r="AJ60" s="98" t="str">
        <f t="shared" si="39"/>
        <v>1+0.0016286947270178i</v>
      </c>
      <c r="AK60" s="98">
        <f t="shared" si="55"/>
        <v>1.0000013263223773</v>
      </c>
      <c r="AL60" s="98">
        <f t="shared" si="56"/>
        <v>1.6286932869029622E-3</v>
      </c>
      <c r="AM60" s="98" t="str">
        <f t="shared" si="40"/>
        <v>1+0.112379936164228i</v>
      </c>
      <c r="AN60" s="98">
        <f t="shared" si="57"/>
        <v>1.0062948126927198</v>
      </c>
      <c r="AO60" s="98">
        <f t="shared" si="58"/>
        <v>0.11191039757568813</v>
      </c>
      <c r="AP60" s="168" t="str">
        <f t="shared" si="59"/>
        <v>-0.355758958370938+3.21282244103022i</v>
      </c>
      <c r="AQ60" s="98">
        <f t="shared" si="60"/>
        <v>10.190661036376003</v>
      </c>
      <c r="AR60" s="169">
        <f t="shared" si="61"/>
        <v>96.318676213257177</v>
      </c>
      <c r="AS60" s="168" t="str">
        <f t="shared" si="62"/>
        <v>91.8320929587138+310.88960046561i</v>
      </c>
      <c r="AT60" s="190">
        <f t="shared" si="63"/>
        <v>50.215426998007999</v>
      </c>
      <c r="AU60" s="169">
        <f t="shared" si="64"/>
        <v>73.543655378674245</v>
      </c>
      <c r="AV60" s="225"/>
      <c r="AX60">
        <f t="shared" si="65"/>
        <v>0</v>
      </c>
      <c r="AY60">
        <f t="shared" si="66"/>
        <v>0</v>
      </c>
    </row>
    <row r="61" spans="1:51" x14ac:dyDescent="0.3">
      <c r="A61" s="98" t="s">
        <v>264</v>
      </c>
      <c r="B61" s="211">
        <f>-(RFBB*gm_ea)/(RFBB+RFBT)</f>
        <v>-3.663003663003663E-5</v>
      </c>
      <c r="C61" s="98" t="s">
        <v>180</v>
      </c>
      <c r="N61" s="170">
        <v>43</v>
      </c>
      <c r="O61" s="199">
        <f t="shared" si="41"/>
        <v>26.915348039269158</v>
      </c>
      <c r="P61" s="189" t="str">
        <f t="shared" si="32"/>
        <v>108.75</v>
      </c>
      <c r="Q61" s="160" t="str">
        <f t="shared" si="33"/>
        <v>1+0.429211634879745i</v>
      </c>
      <c r="R61" s="160">
        <f t="shared" si="42"/>
        <v>1.0882199352686679</v>
      </c>
      <c r="S61" s="160">
        <f t="shared" si="43"/>
        <v>0.40543252483992948</v>
      </c>
      <c r="T61" s="160" t="str">
        <f t="shared" si="34"/>
        <v>1+0.0000158967272177684i</v>
      </c>
      <c r="U61" s="160">
        <f t="shared" si="44"/>
        <v>1.0000000001263529</v>
      </c>
      <c r="V61" s="160">
        <f t="shared" si="45"/>
        <v>1.5896727216429336E-5</v>
      </c>
      <c r="W61" s="98" t="str">
        <f t="shared" si="35"/>
        <v>1-0.000126271875772345i</v>
      </c>
      <c r="X61" s="160">
        <f t="shared" si="46"/>
        <v>1.0000000079722933</v>
      </c>
      <c r="Y61" s="160">
        <f t="shared" si="47"/>
        <v>-1.2627187510122739E-4</v>
      </c>
      <c r="Z61" s="98" t="str">
        <f t="shared" si="36"/>
        <v>0.999999985366778+0.000243566416841821i</v>
      </c>
      <c r="AA61" s="160">
        <f t="shared" si="48"/>
        <v>1.0000000150290778</v>
      </c>
      <c r="AB61" s="160">
        <f t="shared" si="49"/>
        <v>2.4356641558948908E-4</v>
      </c>
      <c r="AC61" s="171" t="str">
        <f t="shared" si="50"/>
        <v>91.8184377339126-39.4480329158341i</v>
      </c>
      <c r="AD61" s="190">
        <f t="shared" si="51"/>
        <v>39.994251701330747</v>
      </c>
      <c r="AE61" s="169">
        <f t="shared" si="52"/>
        <v>-23.249851908442206</v>
      </c>
      <c r="AF61" s="98" t="str">
        <f t="shared" si="37"/>
        <v>-0.0000366300366300366</v>
      </c>
      <c r="AG61" s="98" t="str">
        <f t="shared" si="38"/>
        <v>0.0000116688742343193i</v>
      </c>
      <c r="AH61" s="98">
        <f t="shared" si="53"/>
        <v>1.16688742343193E-5</v>
      </c>
      <c r="AI61" s="98">
        <f t="shared" si="54"/>
        <v>1.5707963267948966</v>
      </c>
      <c r="AJ61" s="98" t="str">
        <f t="shared" si="39"/>
        <v>1+0.00166663190072194i</v>
      </c>
      <c r="AK61" s="98">
        <f t="shared" si="55"/>
        <v>1.0000013888299819</v>
      </c>
      <c r="AL61" s="98">
        <f t="shared" si="56"/>
        <v>1.6666303576112053E-3</v>
      </c>
      <c r="AM61" s="98" t="str">
        <f t="shared" si="40"/>
        <v>1+0.114997601149813i</v>
      </c>
      <c r="AN61" s="98">
        <f t="shared" si="57"/>
        <v>1.0065905067455243</v>
      </c>
      <c r="AO61" s="98">
        <f t="shared" si="58"/>
        <v>0.11449465922732814</v>
      </c>
      <c r="AP61" s="168" t="str">
        <f t="shared" si="59"/>
        <v>-0.355758913895722+3.13971635938392i</v>
      </c>
      <c r="AQ61" s="98">
        <f t="shared" si="60"/>
        <v>9.9932124181876265</v>
      </c>
      <c r="AR61" s="169">
        <f t="shared" si="61"/>
        <v>96.464569865014994</v>
      </c>
      <c r="AS61" s="168" t="str">
        <f t="shared" si="62"/>
        <v>91.190406607541+302.317840391699i</v>
      </c>
      <c r="AT61" s="190">
        <f t="shared" si="63"/>
        <v>49.987464119518378</v>
      </c>
      <c r="AU61" s="169">
        <f t="shared" si="64"/>
        <v>73.21471795657277</v>
      </c>
      <c r="AV61" s="225"/>
      <c r="AX61">
        <f t="shared" si="65"/>
        <v>0</v>
      </c>
      <c r="AY61">
        <f t="shared" si="66"/>
        <v>0</v>
      </c>
    </row>
    <row r="62" spans="1:51" x14ac:dyDescent="0.3">
      <c r="A62" s="98" t="s">
        <v>263</v>
      </c>
      <c r="B62" s="211">
        <f>1/(RCOMP*CCOMP)</f>
        <v>1470.5882352941176</v>
      </c>
      <c r="E62" s="98" t="s">
        <v>278</v>
      </c>
      <c r="N62" s="170">
        <v>44</v>
      </c>
      <c r="O62" s="199">
        <f t="shared" si="41"/>
        <v>27.542287033381665</v>
      </c>
      <c r="P62" s="189" t="str">
        <f t="shared" si="32"/>
        <v>108.75</v>
      </c>
      <c r="Q62" s="160" t="str">
        <f t="shared" si="33"/>
        <v>1+0.439209258177809i</v>
      </c>
      <c r="R62" s="160">
        <f t="shared" si="42"/>
        <v>1.0922018002498903</v>
      </c>
      <c r="S62" s="160">
        <f t="shared" si="43"/>
        <v>0.41384419674500877</v>
      </c>
      <c r="T62" s="160" t="str">
        <f t="shared" si="34"/>
        <v>1+0.0000162670095621411i</v>
      </c>
      <c r="U62" s="160">
        <f t="shared" si="44"/>
        <v>1.0000000001323079</v>
      </c>
      <c r="V62" s="160">
        <f t="shared" si="45"/>
        <v>1.6267009560706266E-5</v>
      </c>
      <c r="W62" s="98" t="str">
        <f t="shared" si="35"/>
        <v>1-0.000129213125599986i</v>
      </c>
      <c r="X62" s="160">
        <f t="shared" si="46"/>
        <v>1.0000000083480158</v>
      </c>
      <c r="Y62" s="160">
        <f t="shared" si="47"/>
        <v>-1.2921312488087052E-4</v>
      </c>
      <c r="Z62" s="98" t="str">
        <f t="shared" si="36"/>
        <v>0.999999984677135+0.000249239807509169i</v>
      </c>
      <c r="AA62" s="160">
        <f t="shared" si="48"/>
        <v>1.0000000157373758</v>
      </c>
      <c r="AB62" s="160">
        <f t="shared" si="49"/>
        <v>2.4923980616727134E-4</v>
      </c>
      <c r="AC62" s="171" t="str">
        <f t="shared" si="50"/>
        <v>91.1495159857371-40.0730990171767i</v>
      </c>
      <c r="AD62" s="190">
        <f t="shared" si="51"/>
        <v>39.962527488754816</v>
      </c>
      <c r="AE62" s="169">
        <f t="shared" si="52"/>
        <v>-23.732277574170965</v>
      </c>
      <c r="AF62" s="98" t="str">
        <f t="shared" si="37"/>
        <v>-0.0000366300366300366</v>
      </c>
      <c r="AG62" s="98" t="str">
        <f t="shared" si="38"/>
        <v>0.0000119406772317844i</v>
      </c>
      <c r="AH62" s="98">
        <f t="shared" si="53"/>
        <v>1.1940677231784401E-5</v>
      </c>
      <c r="AI62" s="98">
        <f t="shared" si="54"/>
        <v>1.5707963267948966</v>
      </c>
      <c r="AJ62" s="98" t="str">
        <f t="shared" si="39"/>
        <v>1+0.00170545274472031i</v>
      </c>
      <c r="AK62" s="98">
        <f t="shared" si="55"/>
        <v>1.0000014542834748</v>
      </c>
      <c r="AL62" s="98">
        <f t="shared" si="56"/>
        <v>1.7054510912474976E-3</v>
      </c>
      <c r="AM62" s="98" t="str">
        <f t="shared" si="40"/>
        <v>1+0.117676239385701i</v>
      </c>
      <c r="AN62" s="98">
        <f t="shared" si="57"/>
        <v>1.0069000433588038</v>
      </c>
      <c r="AO62" s="98">
        <f t="shared" si="58"/>
        <v>0.11713752666211827</v>
      </c>
      <c r="AP62" s="168" t="str">
        <f t="shared" si="59"/>
        <v>-0.355758867324465+3.06827499690342i</v>
      </c>
      <c r="AQ62" s="98">
        <f t="shared" si="60"/>
        <v>9.795882436705547</v>
      </c>
      <c r="AR62" s="169">
        <f t="shared" si="61"/>
        <v>96.613770750646069</v>
      </c>
      <c r="AS62" s="168" t="str">
        <f t="shared" si="62"/>
        <v>90.5280391985792+293.928141195418i</v>
      </c>
      <c r="AT62" s="190">
        <f t="shared" si="63"/>
        <v>49.758409925460384</v>
      </c>
      <c r="AU62" s="169">
        <f t="shared" si="64"/>
        <v>72.881493176475146</v>
      </c>
      <c r="AV62" s="225"/>
      <c r="AX62">
        <f t="shared" si="65"/>
        <v>0</v>
      </c>
      <c r="AY62">
        <f t="shared" si="66"/>
        <v>0</v>
      </c>
    </row>
    <row r="63" spans="1:51" x14ac:dyDescent="0.3">
      <c r="A63" s="98" t="s">
        <v>268</v>
      </c>
      <c r="B63" s="211">
        <f>(CCOMP+CHF)</f>
        <v>6.8999999999999996E-8</v>
      </c>
      <c r="E63" s="98" t="s">
        <v>279</v>
      </c>
      <c r="N63" s="170">
        <v>45</v>
      </c>
      <c r="O63" s="199">
        <f t="shared" si="41"/>
        <v>28.183829312644548</v>
      </c>
      <c r="P63" s="189" t="str">
        <f t="shared" si="32"/>
        <v>108.75</v>
      </c>
      <c r="Q63" s="160" t="str">
        <f t="shared" si="33"/>
        <v>1+0.449439756038181i</v>
      </c>
      <c r="R63" s="160">
        <f t="shared" si="42"/>
        <v>1.0963558246790408</v>
      </c>
      <c r="S63" s="160">
        <f t="shared" si="43"/>
        <v>0.42238792912365097</v>
      </c>
      <c r="T63" s="160" t="str">
        <f t="shared" si="34"/>
        <v>1+0.000016645916890303i</v>
      </c>
      <c r="U63" s="160">
        <f t="shared" si="44"/>
        <v>1.0000000001385434</v>
      </c>
      <c r="V63" s="160">
        <f t="shared" si="45"/>
        <v>1.6645916888765545E-5</v>
      </c>
      <c r="W63" s="98" t="str">
        <f t="shared" si="35"/>
        <v>1-0.000132222885937159i</v>
      </c>
      <c r="X63" s="160">
        <f t="shared" si="46"/>
        <v>1.0000000087414458</v>
      </c>
      <c r="Y63" s="160">
        <f t="shared" si="47"/>
        <v>-1.3222288516661289E-4</v>
      </c>
      <c r="Z63" s="98" t="str">
        <f t="shared" si="36"/>
        <v>0.999999983954991+0.000255045348421537i</v>
      </c>
      <c r="AA63" s="160">
        <f t="shared" si="48"/>
        <v>1.0000000164790559</v>
      </c>
      <c r="AB63" s="160">
        <f t="shared" si="49"/>
        <v>2.5504534698366762E-4</v>
      </c>
      <c r="AC63" s="171" t="str">
        <f t="shared" si="50"/>
        <v>90.4594261755592-40.6963676072529i</v>
      </c>
      <c r="AD63" s="190">
        <f t="shared" si="51"/>
        <v>39.929554681537105</v>
      </c>
      <c r="AE63" s="169">
        <f t="shared" si="52"/>
        <v>-24.222280750514027</v>
      </c>
      <c r="AF63" s="98" t="str">
        <f t="shared" si="37"/>
        <v>-0.0000366300366300366</v>
      </c>
      <c r="AG63" s="98" t="str">
        <f t="shared" si="38"/>
        <v>0.0000122188113343713i</v>
      </c>
      <c r="AH63" s="98">
        <f t="shared" si="53"/>
        <v>1.22188113343713E-5</v>
      </c>
      <c r="AI63" s="98">
        <f t="shared" si="54"/>
        <v>1.5707963267948966</v>
      </c>
      <c r="AJ63" s="98" t="str">
        <f t="shared" si="39"/>
        <v>1+0.00174517784233828i</v>
      </c>
      <c r="AK63" s="98">
        <f t="shared" si="55"/>
        <v>1.0000015228216912</v>
      </c>
      <c r="AL63" s="98">
        <f t="shared" si="56"/>
        <v>1.7451760706103864E-3</v>
      </c>
      <c r="AM63" s="98" t="str">
        <f t="shared" si="40"/>
        <v>1+0.120417271121341i</v>
      </c>
      <c r="AN63" s="98">
        <f t="shared" si="57"/>
        <v>1.0072240660271727</v>
      </c>
      <c r="AO63" s="98">
        <f t="shared" si="58"/>
        <v>0.11984025340556584</v>
      </c>
      <c r="AP63" s="168" t="str">
        <f t="shared" si="59"/>
        <v>-0.355758818558387+2.99846047443222i</v>
      </c>
      <c r="AQ63" s="98">
        <f t="shared" si="60"/>
        <v>9.598676530307058</v>
      </c>
      <c r="AR63" s="169">
        <f t="shared" si="61"/>
        <v>96.76634951256402</v>
      </c>
      <c r="AS63" s="168" t="str">
        <f t="shared" si="62"/>
        <v>89.844711139625+285.717105586808i</v>
      </c>
      <c r="AT63" s="190">
        <f t="shared" si="63"/>
        <v>49.528231211844165</v>
      </c>
      <c r="AU63" s="169">
        <f t="shared" si="64"/>
        <v>72.544068762050003</v>
      </c>
      <c r="AV63" s="225"/>
      <c r="AX63">
        <f t="shared" si="65"/>
        <v>0</v>
      </c>
      <c r="AY63">
        <f t="shared" si="66"/>
        <v>0</v>
      </c>
    </row>
    <row r="64" spans="1:51" x14ac:dyDescent="0.3">
      <c r="A64" s="98" t="s">
        <v>269</v>
      </c>
      <c r="B64" s="211">
        <f>(CCOMP+CHF)/(RCOMP*CHF*CCOMP)</f>
        <v>101470.58823529411</v>
      </c>
      <c r="E64" s="98" t="s">
        <v>280</v>
      </c>
      <c r="N64" s="170">
        <v>46</v>
      </c>
      <c r="O64" s="199">
        <f t="shared" si="41"/>
        <v>28.840315031266066</v>
      </c>
      <c r="P64" s="189" t="str">
        <f t="shared" si="32"/>
        <v>108.75</v>
      </c>
      <c r="Q64" s="160" t="str">
        <f t="shared" si="33"/>
        <v>1+0.459908552806242i</v>
      </c>
      <c r="R64" s="160">
        <f t="shared" si="42"/>
        <v>1.1006888193055893</v>
      </c>
      <c r="S64" s="160">
        <f t="shared" si="43"/>
        <v>0.43106326170866133</v>
      </c>
      <c r="T64" s="160" t="str">
        <f t="shared" si="34"/>
        <v>1+0.0000170336501039349i</v>
      </c>
      <c r="U64" s="160">
        <f t="shared" si="44"/>
        <v>1.0000000001450726</v>
      </c>
      <c r="V64" s="160">
        <f t="shared" si="45"/>
        <v>1.7033650102287488E-5</v>
      </c>
      <c r="W64" s="98" t="str">
        <f t="shared" si="35"/>
        <v>1-0.000135302752598632i</v>
      </c>
      <c r="X64" s="160">
        <f t="shared" si="46"/>
        <v>1.0000000091534174</v>
      </c>
      <c r="Y64" s="160">
        <f t="shared" si="47"/>
        <v>-1.3530275177297697E-4</v>
      </c>
      <c r="Z64" s="98" t="str">
        <f t="shared" si="36"/>
        <v>0.999999983198813+0.000260986117753562i</v>
      </c>
      <c r="AA64" s="160">
        <f t="shared" si="48"/>
        <v>1.0000000172556898</v>
      </c>
      <c r="AB64" s="160">
        <f t="shared" si="49"/>
        <v>2.6098611621285721E-4</v>
      </c>
      <c r="AC64" s="171" t="str">
        <f t="shared" si="50"/>
        <v>89.7479140907934-41.3170772905037i</v>
      </c>
      <c r="AD64" s="190">
        <f t="shared" si="51"/>
        <v>39.895294143914988</v>
      </c>
      <c r="AE64" s="169">
        <f t="shared" si="52"/>
        <v>-24.719835322392626</v>
      </c>
      <c r="AF64" s="98" t="str">
        <f t="shared" si="37"/>
        <v>-0.0000366300366300366</v>
      </c>
      <c r="AG64" s="98" t="str">
        <f t="shared" si="38"/>
        <v>0.0000125034240124628i</v>
      </c>
      <c r="AH64" s="98">
        <f t="shared" si="53"/>
        <v>1.2503424012462799E-5</v>
      </c>
      <c r="AI64" s="98">
        <f t="shared" si="54"/>
        <v>1.5707963267948966</v>
      </c>
      <c r="AJ64" s="98" t="str">
        <f t="shared" si="39"/>
        <v>1+0.0017858282563484i</v>
      </c>
      <c r="AK64" s="98">
        <f t="shared" si="55"/>
        <v>1.0000015945900091</v>
      </c>
      <c r="AL64" s="98">
        <f t="shared" si="56"/>
        <v>1.7858263579079217E-3</v>
      </c>
      <c r="AM64" s="98" t="str">
        <f t="shared" si="40"/>
        <v>1+0.12322214968804i</v>
      </c>
      <c r="AN64" s="98">
        <f t="shared" si="57"/>
        <v>1.0075632477287675</v>
      </c>
      <c r="AO64" s="98">
        <f t="shared" si="58"/>
        <v>0.12260411445264693</v>
      </c>
      <c r="AP64" s="168" t="str">
        <f t="shared" si="59"/>
        <v>-0.355758767494047+2.93023577538585i</v>
      </c>
      <c r="AQ64" s="98">
        <f t="shared" si="60"/>
        <v>9.4016003792466627</v>
      </c>
      <c r="AR64" s="169">
        <f t="shared" si="61"/>
        <v>96.922377995824235</v>
      </c>
      <c r="AS64" s="168" t="str">
        <f t="shared" si="62"/>
        <v>89.1401707089139+277.681461128424i</v>
      </c>
      <c r="AT64" s="190">
        <f t="shared" si="63"/>
        <v>49.29689452316164</v>
      </c>
      <c r="AU64" s="169">
        <f t="shared" si="64"/>
        <v>72.202542673431594</v>
      </c>
      <c r="AV64" s="225"/>
      <c r="AX64">
        <f t="shared" si="65"/>
        <v>0</v>
      </c>
      <c r="AY64">
        <f t="shared" si="66"/>
        <v>0</v>
      </c>
    </row>
    <row r="65" spans="1:51" x14ac:dyDescent="0.3">
      <c r="N65" s="170">
        <v>47</v>
      </c>
      <c r="O65" s="199">
        <f t="shared" si="41"/>
        <v>29.512092266663863</v>
      </c>
      <c r="P65" s="189" t="str">
        <f t="shared" si="32"/>
        <v>108.75</v>
      </c>
      <c r="Q65" s="160" t="str">
        <f t="shared" si="33"/>
        <v>1+0.47062119917661i</v>
      </c>
      <c r="R65" s="160">
        <f t="shared" si="42"/>
        <v>1.1052078144468716</v>
      </c>
      <c r="S65" s="160">
        <f t="shared" si="43"/>
        <v>0.43986956990087073</v>
      </c>
      <c r="T65" s="160" t="str">
        <f t="shared" si="34"/>
        <v>1+0.000017430414784319i</v>
      </c>
      <c r="U65" s="160">
        <f t="shared" si="44"/>
        <v>1.0000000001519096</v>
      </c>
      <c r="V65" s="160">
        <f t="shared" si="45"/>
        <v>1.7430414782553767E-5</v>
      </c>
      <c r="W65" s="98" t="str">
        <f t="shared" si="35"/>
        <v>1-0.000138454358570477i</v>
      </c>
      <c r="X65" s="160">
        <f t="shared" si="46"/>
        <v>1.0000000095848047</v>
      </c>
      <c r="Y65" s="160">
        <f t="shared" si="47"/>
        <v>-1.3845435768577169E-4</v>
      </c>
      <c r="Z65" s="98" t="str">
        <f t="shared" si="36"/>
        <v>0.999999982406997+0.00026706526537978i</v>
      </c>
      <c r="AA65" s="160">
        <f t="shared" si="48"/>
        <v>1.0000000180689248</v>
      </c>
      <c r="AB65" s="160">
        <f t="shared" si="49"/>
        <v>2.6706526372888517E-4</v>
      </c>
      <c r="AC65" s="171" t="str">
        <f t="shared" si="50"/>
        <v>89.0147563177555-41.934436062486i</v>
      </c>
      <c r="AD65" s="190">
        <f t="shared" si="51"/>
        <v>39.85970630088196</v>
      </c>
      <c r="AE65" s="169">
        <f t="shared" si="52"/>
        <v>-25.224905765169261</v>
      </c>
      <c r="AF65" s="98" t="str">
        <f t="shared" si="37"/>
        <v>-0.0000366300366300366</v>
      </c>
      <c r="AG65" s="98" t="str">
        <f t="shared" si="38"/>
        <v>0.0000127946661714681i</v>
      </c>
      <c r="AH65" s="98">
        <f t="shared" si="53"/>
        <v>1.27946661714681E-5</v>
      </c>
      <c r="AI65" s="98">
        <f t="shared" si="54"/>
        <v>1.5707963267948966</v>
      </c>
      <c r="AJ65" s="98" t="str">
        <f t="shared" si="39"/>
        <v>1+0.00182742554013828i</v>
      </c>
      <c r="AK65" s="98">
        <f t="shared" si="55"/>
        <v>1.0000016697406584</v>
      </c>
      <c r="AL65" s="98">
        <f t="shared" si="56"/>
        <v>1.8274235059228413E-3</v>
      </c>
      <c r="AM65" s="98" t="str">
        <f t="shared" si="40"/>
        <v>1+0.126092362269541i</v>
      </c>
      <c r="AN65" s="98">
        <f t="shared" si="57"/>
        <v>1.007918292235394</v>
      </c>
      <c r="AO65" s="98">
        <f t="shared" si="58"/>
        <v>0.12543040624501239</v>
      </c>
      <c r="AP65" s="168" t="str">
        <f t="shared" si="59"/>
        <v>-0.355758714023132+2.86356472612525i</v>
      </c>
      <c r="AQ65" s="98">
        <f t="shared" si="60"/>
        <v>9.2046599157097564</v>
      </c>
      <c r="AR65" s="169">
        <f t="shared" si="61"/>
        <v>97.081929246178206</v>
      </c>
      <c r="AS65" s="168" t="str">
        <f t="shared" si="62"/>
        <v>88.4141966818024+269.818057343035i</v>
      </c>
      <c r="AT65" s="190">
        <f t="shared" si="63"/>
        <v>49.064366216591722</v>
      </c>
      <c r="AU65" s="169">
        <f t="shared" si="64"/>
        <v>71.857023481008952</v>
      </c>
      <c r="AV65" s="225"/>
      <c r="AX65">
        <f t="shared" si="65"/>
        <v>0</v>
      </c>
      <c r="AY65">
        <f t="shared" si="66"/>
        <v>0</v>
      </c>
    </row>
    <row r="66" spans="1:51" x14ac:dyDescent="0.3">
      <c r="N66" s="170">
        <v>48</v>
      </c>
      <c r="O66" s="199">
        <f t="shared" si="41"/>
        <v>30.199517204020164</v>
      </c>
      <c r="P66" s="189" t="str">
        <f t="shared" si="32"/>
        <v>108.75</v>
      </c>
      <c r="Q66" s="160" t="str">
        <f t="shared" si="33"/>
        <v>1+0.48158337513619i</v>
      </c>
      <c r="R66" s="160">
        <f t="shared" si="42"/>
        <v>1.1099200634314006</v>
      </c>
      <c r="S66" s="160">
        <f t="shared" si="43"/>
        <v>0.44880605839363902</v>
      </c>
      <c r="T66" s="160" t="str">
        <f t="shared" si="34"/>
        <v>1+0.0000178364213013404i</v>
      </c>
      <c r="U66" s="160">
        <f t="shared" si="44"/>
        <v>1.000000000159069</v>
      </c>
      <c r="V66" s="160">
        <f t="shared" si="45"/>
        <v>1.7836421299448917E-5</v>
      </c>
      <c r="W66" s="98" t="str">
        <f t="shared" si="35"/>
        <v>1-0.000141679374875896i</v>
      </c>
      <c r="X66" s="160">
        <f t="shared" si="46"/>
        <v>1.0000000100365225</v>
      </c>
      <c r="Y66" s="160">
        <f t="shared" si="47"/>
        <v>-1.4167937392791719E-4</v>
      </c>
      <c r="Z66" s="98" t="str">
        <f t="shared" si="36"/>
        <v>0.999999981577865+0.000273286014544729i</v>
      </c>
      <c r="AA66" s="160">
        <f t="shared" si="48"/>
        <v>1.0000000189204876</v>
      </c>
      <c r="AB66" s="160">
        <f t="shared" si="49"/>
        <v>2.7328601277576317E-4</v>
      </c>
      <c r="AC66" s="171" t="str">
        <f t="shared" si="50"/>
        <v>88.259762927754-42.5476222929435i</v>
      </c>
      <c r="AD66" s="190">
        <f t="shared" si="51"/>
        <v>39.822751197246419</v>
      </c>
      <c r="AE66" s="169">
        <f t="shared" si="52"/>
        <v>-25.737446779497578</v>
      </c>
      <c r="AF66" s="98" t="str">
        <f t="shared" si="37"/>
        <v>-0.0000366300366300366</v>
      </c>
      <c r="AG66" s="98" t="str">
        <f t="shared" si="38"/>
        <v>0.0000130926922318349i</v>
      </c>
      <c r="AH66" s="98">
        <f t="shared" si="53"/>
        <v>1.30926922318349E-5</v>
      </c>
      <c r="AI66" s="98">
        <f t="shared" si="54"/>
        <v>1.5707963267948966</v>
      </c>
      <c r="AJ66" s="98" t="str">
        <f t="shared" si="39"/>
        <v>1+0.00186999174913837i</v>
      </c>
      <c r="AK66" s="98">
        <f t="shared" si="55"/>
        <v>1.0000017484330423</v>
      </c>
      <c r="AL66" s="98">
        <f t="shared" si="56"/>
        <v>1.8699895694374621E-3</v>
      </c>
      <c r="AM66" s="98" t="str">
        <f t="shared" si="40"/>
        <v>1+0.129029430690547i</v>
      </c>
      <c r="AN66" s="98">
        <f t="shared" si="57"/>
        <v>1.0082899354770565</v>
      </c>
      <c r="AO66" s="98">
        <f t="shared" si="58"/>
        <v>0.12832044661377909</v>
      </c>
      <c r="AP66" s="168" t="str">
        <f t="shared" si="59"/>
        <v>-0.355758658032229+2.79841197677699i</v>
      </c>
      <c r="AQ66" s="98">
        <f t="shared" si="60"/>
        <v>9.007861334216603</v>
      </c>
      <c r="AR66" s="169">
        <f t="shared" si="61"/>
        <v>97.245077506141101</v>
      </c>
      <c r="AS66" s="168" t="str">
        <f t="shared" si="62"/>
        <v>87.6666009905363+262.123862653924i</v>
      </c>
      <c r="AT66" s="190">
        <f t="shared" si="63"/>
        <v>48.830612531463018</v>
      </c>
      <c r="AU66" s="169">
        <f t="shared" si="64"/>
        <v>71.507630726643498</v>
      </c>
      <c r="AV66" s="225"/>
      <c r="AX66">
        <f t="shared" si="65"/>
        <v>0</v>
      </c>
      <c r="AY66">
        <f t="shared" si="66"/>
        <v>0</v>
      </c>
    </row>
    <row r="67" spans="1:51" x14ac:dyDescent="0.3">
      <c r="N67" s="170">
        <v>49</v>
      </c>
      <c r="O67" s="199">
        <f t="shared" si="41"/>
        <v>30.902954325135919</v>
      </c>
      <c r="P67" s="189" t="str">
        <f t="shared" si="32"/>
        <v>108.75</v>
      </c>
      <c r="Q67" s="160" t="str">
        <f t="shared" si="33"/>
        <v>1+0.492800892975777i</v>
      </c>
      <c r="R67" s="160">
        <f t="shared" si="42"/>
        <v>1.114833045849343</v>
      </c>
      <c r="S67" s="160">
        <f t="shared" si="43"/>
        <v>0.45787175502940664</v>
      </c>
      <c r="T67" s="160" t="str">
        <f t="shared" si="34"/>
        <v>1+0.0000182518849250288i</v>
      </c>
      <c r="U67" s="160">
        <f t="shared" si="44"/>
        <v>1.0000000001665657</v>
      </c>
      <c r="V67" s="160">
        <f t="shared" si="45"/>
        <v>1.8251884923002045E-5</v>
      </c>
      <c r="W67" s="98" t="str">
        <f t="shared" si="35"/>
        <v>1-0.000144979511461222i</v>
      </c>
      <c r="X67" s="160">
        <f t="shared" si="46"/>
        <v>1.0000000105095292</v>
      </c>
      <c r="Y67" s="160">
        <f t="shared" si="47"/>
        <v>-1.449795104454444E-4</v>
      </c>
      <c r="Z67" s="98" t="str">
        <f t="shared" si="36"/>
        <v>0.999999980709656+0.000279651663571957i</v>
      </c>
      <c r="AA67" s="160">
        <f t="shared" si="48"/>
        <v>1.0000000198121826</v>
      </c>
      <c r="AB67" s="160">
        <f t="shared" si="49"/>
        <v>2.796516616764761E-4</v>
      </c>
      <c r="AC67" s="171" t="str">
        <f t="shared" si="50"/>
        <v>87.4827801793082-43.1557859382294i</v>
      </c>
      <c r="AD67" s="190">
        <f t="shared" si="51"/>
        <v>39.784388561644278</v>
      </c>
      <c r="AE67" s="169">
        <f t="shared" si="52"/>
        <v>-26.25740293947095</v>
      </c>
      <c r="AF67" s="98" t="str">
        <f t="shared" si="37"/>
        <v>-0.0000366300366300366</v>
      </c>
      <c r="AG67" s="98" t="str">
        <f t="shared" si="38"/>
        <v>0.0000133976602109254i</v>
      </c>
      <c r="AH67" s="98">
        <f t="shared" si="53"/>
        <v>1.33976602109254E-5</v>
      </c>
      <c r="AI67" s="98">
        <f t="shared" si="54"/>
        <v>1.5707963267948966</v>
      </c>
      <c r="AJ67" s="98" t="str">
        <f t="shared" si="39"/>
        <v>1+0.00191354945251613i</v>
      </c>
      <c r="AK67" s="98">
        <f t="shared" si="55"/>
        <v>1.0000018308340777</v>
      </c>
      <c r="AL67" s="98">
        <f t="shared" si="56"/>
        <v>1.9135471169247588E-3</v>
      </c>
      <c r="AM67" s="98" t="str">
        <f t="shared" si="40"/>
        <v>1+0.132034912223612i</v>
      </c>
      <c r="AN67" s="98">
        <f t="shared" si="57"/>
        <v>1.0086789469627573</v>
      </c>
      <c r="AO67" s="98">
        <f t="shared" si="58"/>
        <v>0.13127557468509149</v>
      </c>
      <c r="AP67" s="168" t="str">
        <f t="shared" si="59"/>
        <v>-0.355758599402573+2.73474298249029i</v>
      </c>
      <c r="AQ67" s="98">
        <f t="shared" si="60"/>
        <v>8.8112111023825435</v>
      </c>
      <c r="AR67" s="169">
        <f t="shared" si="61"/>
        <v>97.411898208910969</v>
      </c>
      <c r="AS67" s="168" t="str">
        <f t="shared" si="62"/>
        <v>86.8972313999921+254.595961145605i</v>
      </c>
      <c r="AT67" s="190">
        <f t="shared" si="63"/>
        <v>48.595599664026807</v>
      </c>
      <c r="AU67" s="169">
        <f t="shared" si="64"/>
        <v>71.154495269439991</v>
      </c>
      <c r="AV67" s="225"/>
      <c r="AX67">
        <f t="shared" si="65"/>
        <v>0</v>
      </c>
      <c r="AY67">
        <f t="shared" si="66"/>
        <v>0</v>
      </c>
    </row>
    <row r="68" spans="1:51" x14ac:dyDescent="0.3">
      <c r="A68" s="214" t="str">
        <f>"Crossover Frequency = "&amp;B68</f>
        <v>Crossover Frequency = 2.4 kHz</v>
      </c>
      <c r="B68" t="str">
        <f>ROUND(D68,1)&amp;" kHz"</f>
        <v>2.4 kHz</v>
      </c>
      <c r="C68" s="215"/>
      <c r="D68" s="216">
        <f>AY12</f>
        <v>2.3988329190194917</v>
      </c>
      <c r="N68" s="170">
        <v>50</v>
      </c>
      <c r="O68" s="199">
        <f t="shared" si="41"/>
        <v>31.622776601683803</v>
      </c>
      <c r="P68" s="189" t="str">
        <f t="shared" si="32"/>
        <v>108.75</v>
      </c>
      <c r="Q68" s="160" t="str">
        <f t="shared" si="33"/>
        <v>1+0.50427970037181i</v>
      </c>
      <c r="R68" s="160">
        <f t="shared" si="42"/>
        <v>1.1199544705956053</v>
      </c>
      <c r="S68" s="160">
        <f t="shared" si="43"/>
        <v>0.46706550493790161</v>
      </c>
      <c r="T68" s="160" t="str">
        <f t="shared" si="34"/>
        <v>1+0.0000186770259396967i</v>
      </c>
      <c r="U68" s="160">
        <f t="shared" si="44"/>
        <v>1.0000000001744156</v>
      </c>
      <c r="V68" s="160">
        <f t="shared" si="45"/>
        <v>1.867702593752499E-5</v>
      </c>
      <c r="W68" s="98" t="str">
        <f t="shared" si="35"/>
        <v>1-0.000148356518102556i</v>
      </c>
      <c r="X68" s="160">
        <f t="shared" si="46"/>
        <v>1.0000000110048282</v>
      </c>
      <c r="Y68" s="160">
        <f t="shared" si="47"/>
        <v>-1.4835651701413066E-4</v>
      </c>
      <c r="Z68" s="98" t="str">
        <f t="shared" si="36"/>
        <v>0.99999997980053+0.000286165587612838i</v>
      </c>
      <c r="AA68" s="160">
        <f t="shared" si="48"/>
        <v>1.0000000207459019</v>
      </c>
      <c r="AB68" s="160">
        <f t="shared" si="49"/>
        <v>2.8616558558179362E-4</v>
      </c>
      <c r="AC68" s="171" t="str">
        <f t="shared" si="50"/>
        <v>86.6836932173338-43.7580499931095i</v>
      </c>
      <c r="AD68" s="190">
        <f t="shared" si="51"/>
        <v>39.744577875517194</v>
      </c>
      <c r="AE68" s="169">
        <f t="shared" si="52"/>
        <v>-26.784708356912262</v>
      </c>
      <c r="AF68" s="98" t="str">
        <f t="shared" si="37"/>
        <v>-0.0000366300366300366</v>
      </c>
      <c r="AG68" s="98" t="str">
        <f t="shared" si="38"/>
        <v>0.0000137097318067986i</v>
      </c>
      <c r="AH68" s="98">
        <f t="shared" si="53"/>
        <v>1.3709731806798599E-5</v>
      </c>
      <c r="AI68" s="98">
        <f t="shared" si="54"/>
        <v>1.5707963267948966</v>
      </c>
      <c r="AJ68" s="98" t="str">
        <f t="shared" si="39"/>
        <v>1+0.00195812174514242i</v>
      </c>
      <c r="AK68" s="98">
        <f t="shared" si="55"/>
        <v>1.0000019171185468</v>
      </c>
      <c r="AL68" s="98">
        <f t="shared" si="56"/>
        <v>1.9581192425114358E-3</v>
      </c>
      <c r="AM68" s="98" t="str">
        <f t="shared" si="40"/>
        <v>1+0.135110400414827i</v>
      </c>
      <c r="AN68" s="98">
        <f t="shared" si="57"/>
        <v>1.009086131259495</v>
      </c>
      <c r="AO68" s="98">
        <f t="shared" si="58"/>
        <v>0.13429715074547219</v>
      </c>
      <c r="AP68" s="168" t="str">
        <f t="shared" si="59"/>
        <v>-0.355758538009812+2.67252398512095i</v>
      </c>
      <c r="AQ68" s="98">
        <f t="shared" si="60"/>
        <v>8.6147159720395354</v>
      </c>
      <c r="AR68" s="169">
        <f t="shared" si="61"/>
        <v>97.582467969968519</v>
      </c>
      <c r="AS68" s="168" t="str">
        <f t="shared" si="62"/>
        <v>86.105974180417+247.2315491339i</v>
      </c>
      <c r="AT68" s="190">
        <f t="shared" si="63"/>
        <v>48.359293847556735</v>
      </c>
      <c r="AU68" s="169">
        <f t="shared" si="64"/>
        <v>70.7977596130563</v>
      </c>
      <c r="AV68" s="225"/>
      <c r="AX68">
        <f t="shared" si="65"/>
        <v>0</v>
      </c>
      <c r="AY68">
        <f t="shared" si="66"/>
        <v>0</v>
      </c>
    </row>
    <row r="69" spans="1:51" x14ac:dyDescent="0.3">
      <c r="A69" s="214" t="str">
        <f>"Phase Margin = "&amp;B69</f>
        <v>Phase Margin = 76°</v>
      </c>
      <c r="B69" s="217" t="str">
        <f>ROUND(D69,0)&amp;"°"</f>
        <v>76°</v>
      </c>
      <c r="C69" s="218"/>
      <c r="D69" s="23">
        <f>AY14</f>
        <v>75.668617314558432</v>
      </c>
      <c r="N69" s="170">
        <v>51</v>
      </c>
      <c r="O69" s="199">
        <f t="shared" si="41"/>
        <v>32.359365692962832</v>
      </c>
      <c r="P69" s="189" t="str">
        <f t="shared" si="32"/>
        <v>108.75</v>
      </c>
      <c r="Q69" s="160" t="str">
        <f t="shared" si="33"/>
        <v>1+0.516025883539911i</v>
      </c>
      <c r="R69" s="160">
        <f t="shared" si="42"/>
        <v>1.1252922786916943</v>
      </c>
      <c r="S69" s="160">
        <f t="shared" si="43"/>
        <v>0.47638596500757646</v>
      </c>
      <c r="T69" s="160" t="str">
        <f t="shared" si="34"/>
        <v>1+0.0000191120697607375i</v>
      </c>
      <c r="U69" s="160">
        <f t="shared" si="44"/>
        <v>1.0000000001826357</v>
      </c>
      <c r="V69" s="160">
        <f t="shared" si="45"/>
        <v>1.911206975841047E-5</v>
      </c>
      <c r="W69" s="98" t="str">
        <f t="shared" si="35"/>
        <v>1-0.000151812185333518i</v>
      </c>
      <c r="X69" s="160">
        <f t="shared" si="46"/>
        <v>1.0000000115234697</v>
      </c>
      <c r="Y69" s="160">
        <f t="shared" si="47"/>
        <v>-1.5181218416724927E-4</v>
      </c>
      <c r="Z69" s="98" t="str">
        <f t="shared" si="36"/>
        <v>0.999999978848559+0.000292831240436121i</v>
      </c>
      <c r="AA69" s="160">
        <f t="shared" si="48"/>
        <v>1.0000000217236267</v>
      </c>
      <c r="AB69" s="160">
        <f t="shared" si="49"/>
        <v>2.928312382598176E-4</v>
      </c>
      <c r="AC69" s="171" t="str">
        <f t="shared" si="50"/>
        <v>85.8624287483416-44.3535121904882i</v>
      </c>
      <c r="AD69" s="190">
        <f t="shared" si="51"/>
        <v>39.703278447032233</v>
      </c>
      <c r="AE69" s="169">
        <f t="shared" si="52"/>
        <v>-27.319286364759478</v>
      </c>
      <c r="AF69" s="98" t="str">
        <f t="shared" si="37"/>
        <v>-0.0000366300366300366</v>
      </c>
      <c r="AG69" s="98" t="str">
        <f t="shared" si="38"/>
        <v>0.0000140290724839456i</v>
      </c>
      <c r="AH69" s="98">
        <f t="shared" si="53"/>
        <v>1.4029072483945601E-5</v>
      </c>
      <c r="AI69" s="98">
        <f t="shared" si="54"/>
        <v>1.5707963267948966</v>
      </c>
      <c r="AJ69" s="98" t="str">
        <f t="shared" si="39"/>
        <v>1+0.0020037322598368i</v>
      </c>
      <c r="AK69" s="98">
        <f t="shared" si="55"/>
        <v>1.0000020074694695</v>
      </c>
      <c r="AL69" s="98">
        <f t="shared" si="56"/>
        <v>2.0037295782196771E-3</v>
      </c>
      <c r="AM69" s="98" t="str">
        <f t="shared" si="40"/>
        <v>1+0.138257525928739i</v>
      </c>
      <c r="AN69" s="98">
        <f t="shared" si="57"/>
        <v>1.009512329531411</v>
      </c>
      <c r="AO69" s="98">
        <f t="shared" si="58"/>
        <v>0.13738655606380978</v>
      </c>
      <c r="AP69" s="168" t="str">
        <f t="shared" si="59"/>
        <v>-0.355758473723718+2.61172199533222i</v>
      </c>
      <c r="AQ69" s="98">
        <f t="shared" si="60"/>
        <v>8.4183829907223213</v>
      </c>
      <c r="AR69" s="169">
        <f t="shared" si="61"/>
        <v>97.756864576176255</v>
      </c>
      <c r="AS69" s="168" t="str">
        <f t="shared" si="62"/>
        <v>85.2927567564123+240.027931535864i</v>
      </c>
      <c r="AT69" s="190">
        <f t="shared" si="63"/>
        <v>48.121661437754561</v>
      </c>
      <c r="AU69" s="169">
        <f t="shared" si="64"/>
        <v>70.437578211416792</v>
      </c>
      <c r="AV69" s="225"/>
      <c r="AX69">
        <f t="shared" si="65"/>
        <v>0</v>
      </c>
      <c r="AY69">
        <f t="shared" si="66"/>
        <v>0</v>
      </c>
    </row>
    <row r="70" spans="1:51" x14ac:dyDescent="0.3">
      <c r="N70" s="170">
        <v>52</v>
      </c>
      <c r="O70" s="199">
        <f t="shared" si="41"/>
        <v>33.113112148259127</v>
      </c>
      <c r="P70" s="189" t="str">
        <f t="shared" si="32"/>
        <v>108.75</v>
      </c>
      <c r="Q70" s="160" t="str">
        <f t="shared" si="33"/>
        <v>1+0.528045670461877i</v>
      </c>
      <c r="R70" s="160">
        <f t="shared" si="42"/>
        <v>1.1308546458734354</v>
      </c>
      <c r="S70" s="160">
        <f t="shared" si="43"/>
        <v>0.48583159874347298</v>
      </c>
      <c r="T70" s="160" t="str">
        <f t="shared" si="34"/>
        <v>1+0.0000195572470541437i</v>
      </c>
      <c r="U70" s="160">
        <f t="shared" si="44"/>
        <v>1.000000000191243</v>
      </c>
      <c r="V70" s="160">
        <f t="shared" si="45"/>
        <v>1.9557247051650241E-5</v>
      </c>
      <c r="W70" s="98" t="str">
        <f t="shared" si="35"/>
        <v>1-0.000155348345394616i</v>
      </c>
      <c r="X70" s="160">
        <f t="shared" si="46"/>
        <v>1.0000000120665542</v>
      </c>
      <c r="Y70" s="160">
        <f t="shared" si="47"/>
        <v>-1.5534834414493651E-4</v>
      </c>
      <c r="Z70" s="98" t="str">
        <f t="shared" si="36"/>
        <v>0.999999977851722+0.000299652156259164i</v>
      </c>
      <c r="AA70" s="160">
        <f t="shared" si="48"/>
        <v>1.0000000227474293</v>
      </c>
      <c r="AB70" s="160">
        <f t="shared" si="49"/>
        <v>2.9965215392721296E-4</v>
      </c>
      <c r="AC70" s="171" t="str">
        <f t="shared" si="50"/>
        <v>85.0189576689755-44.9412469558394i</v>
      </c>
      <c r="AD70" s="190">
        <f t="shared" si="51"/>
        <v>39.660449489877962</v>
      </c>
      <c r="AE70" s="169">
        <f t="shared" si="52"/>
        <v>-27.861049222595256</v>
      </c>
      <c r="AF70" s="98" t="str">
        <f t="shared" si="37"/>
        <v>-0.0000366300366300366</v>
      </c>
      <c r="AG70" s="98" t="str">
        <f t="shared" si="38"/>
        <v>0.0000143558515610203i</v>
      </c>
      <c r="AH70" s="98">
        <f t="shared" si="53"/>
        <v>1.4355851561020301E-5</v>
      </c>
      <c r="AI70" s="98">
        <f t="shared" si="54"/>
        <v>1.5707963267948966</v>
      </c>
      <c r="AJ70" s="98" t="str">
        <f t="shared" si="39"/>
        <v>1+0.00205040517989788i</v>
      </c>
      <c r="AK70" s="98">
        <f t="shared" si="55"/>
        <v>1.0000021020784915</v>
      </c>
      <c r="AL70" s="98">
        <f t="shared" si="56"/>
        <v>2.0504023064936896E-3</v>
      </c>
      <c r="AM70" s="98" t="str">
        <f t="shared" si="40"/>
        <v>1+0.141477957412954i</v>
      </c>
      <c r="AN70" s="98">
        <f t="shared" si="57"/>
        <v>1.0099584211410595</v>
      </c>
      <c r="AO70" s="98">
        <f t="shared" si="58"/>
        <v>0.14054519266666055</v>
      </c>
      <c r="AP70" s="168" t="str">
        <f t="shared" si="59"/>
        <v>-0.355758406407941+2.55230477510349i</v>
      </c>
      <c r="AQ70" s="98">
        <f t="shared" si="60"/>
        <v>8.2222195135237399</v>
      </c>
      <c r="AR70" s="169">
        <f t="shared" si="61"/>
        <v>97.935166972186678</v>
      </c>
      <c r="AS70" s="168" t="str">
        <f t="shared" si="62"/>
        <v>84.4575503097152+232.982518031843i</v>
      </c>
      <c r="AT70" s="190">
        <f t="shared" si="63"/>
        <v>47.882669003401702</v>
      </c>
      <c r="AU70" s="169">
        <f t="shared" si="64"/>
        <v>70.074117749591437</v>
      </c>
      <c r="AV70" s="225"/>
      <c r="AX70">
        <f t="shared" si="65"/>
        <v>0</v>
      </c>
      <c r="AY70">
        <f t="shared" si="66"/>
        <v>0</v>
      </c>
    </row>
    <row r="71" spans="1:51" x14ac:dyDescent="0.3">
      <c r="N71" s="170">
        <v>53</v>
      </c>
      <c r="O71" s="199">
        <f t="shared" si="41"/>
        <v>33.884415613920268</v>
      </c>
      <c r="P71" s="189" t="str">
        <f t="shared" si="32"/>
        <v>108.75</v>
      </c>
      <c r="Q71" s="160" t="str">
        <f t="shared" si="33"/>
        <v>1+0.540345434187829i</v>
      </c>
      <c r="R71" s="160">
        <f t="shared" si="42"/>
        <v>1.1366499849327556</v>
      </c>
      <c r="S71" s="160">
        <f t="shared" si="43"/>
        <v>0.4954006715659342</v>
      </c>
      <c r="T71" s="160" t="str">
        <f t="shared" si="34"/>
        <v>1+0.0000200127938588085i</v>
      </c>
      <c r="U71" s="160">
        <f t="shared" si="44"/>
        <v>1.0000000002002558</v>
      </c>
      <c r="V71" s="160">
        <f t="shared" si="45"/>
        <v>2.0012793856136715E-5</v>
      </c>
      <c r="W71" s="98" t="str">
        <f t="shared" si="35"/>
        <v>1-0.000158966873204721i</v>
      </c>
      <c r="X71" s="160">
        <f t="shared" si="46"/>
        <v>1.0000000126352333</v>
      </c>
      <c r="Y71" s="160">
        <f t="shared" si="47"/>
        <v>-1.5896687186566533E-4</v>
      </c>
      <c r="Z71" s="98" t="str">
        <f t="shared" si="36"/>
        <v>0.999999976807906+0.000306631951621819i</v>
      </c>
      <c r="AA71" s="160">
        <f t="shared" si="48"/>
        <v>1.0000000238194828</v>
      </c>
      <c r="AB71" s="160">
        <f t="shared" si="49"/>
        <v>3.0663194912308836E-4</v>
      </c>
      <c r="AC71" s="171" t="str">
        <f t="shared" si="50"/>
        <v>84.1532976236221-45.5203076210886i</v>
      </c>
      <c r="AD71" s="190">
        <f t="shared" si="51"/>
        <v>39.616050206829073</v>
      </c>
      <c r="AE71" s="169">
        <f t="shared" si="52"/>
        <v>-28.409897847439389</v>
      </c>
      <c r="AF71" s="98" t="str">
        <f t="shared" si="37"/>
        <v>-0.0000366300366300366</v>
      </c>
      <c r="AG71" s="98" t="str">
        <f t="shared" si="38"/>
        <v>0.0000146902423006148i</v>
      </c>
      <c r="AH71" s="98">
        <f t="shared" si="53"/>
        <v>1.46902423006148E-5</v>
      </c>
      <c r="AI71" s="98">
        <f t="shared" si="54"/>
        <v>1.5707963267948966</v>
      </c>
      <c r="AJ71" s="98" t="str">
        <f t="shared" si="39"/>
        <v>1+0.00209816525192565i</v>
      </c>
      <c r="AK71" s="98">
        <f t="shared" si="55"/>
        <v>1.0000022011462897</v>
      </c>
      <c r="AL71" s="98">
        <f t="shared" si="56"/>
        <v>2.0981621730179543E-3</v>
      </c>
      <c r="AM71" s="98" t="str">
        <f t="shared" si="40"/>
        <v>1+0.14477340238287i</v>
      </c>
      <c r="AN71" s="98">
        <f t="shared" si="57"/>
        <v>1.0104253253147966</v>
      </c>
      <c r="AO71" s="98">
        <f t="shared" si="58"/>
        <v>0.14377448306334378</v>
      </c>
      <c r="AP71" s="168" t="str">
        <f t="shared" si="59"/>
        <v>-0.355758335919694+2.49424082063727i</v>
      </c>
      <c r="AQ71" s="98">
        <f t="shared" si="60"/>
        <v>8.0262332153205911</v>
      </c>
      <c r="AR71" s="169">
        <f t="shared" si="61"/>
        <v>98.117455243956783</v>
      </c>
      <c r="AS71" s="168" t="str">
        <f t="shared" si="62"/>
        <v>83.6003723117505+226.092819013907i</v>
      </c>
      <c r="AT71" s="190">
        <f t="shared" si="63"/>
        <v>47.642283422149674</v>
      </c>
      <c r="AU71" s="169">
        <f t="shared" si="64"/>
        <v>69.707557396517416</v>
      </c>
      <c r="AV71" s="225"/>
      <c r="AX71">
        <f t="shared" si="65"/>
        <v>0</v>
      </c>
      <c r="AY71">
        <f t="shared" si="66"/>
        <v>0</v>
      </c>
    </row>
    <row r="72" spans="1:51" x14ac:dyDescent="0.3">
      <c r="N72" s="170">
        <v>54</v>
      </c>
      <c r="O72" s="199">
        <f t="shared" si="41"/>
        <v>34.67368504525318</v>
      </c>
      <c r="P72" s="189" t="str">
        <f t="shared" si="32"/>
        <v>108.75</v>
      </c>
      <c r="Q72" s="160" t="str">
        <f t="shared" si="33"/>
        <v>1+0.552931696215307i</v>
      </c>
      <c r="R72" s="160">
        <f t="shared" si="42"/>
        <v>1.1426869478030877</v>
      </c>
      <c r="S72" s="160">
        <f t="shared" si="43"/>
        <v>0.50509124660538418</v>
      </c>
      <c r="T72" s="160" t="str">
        <f t="shared" si="34"/>
        <v>1+0.0000204789517116781i</v>
      </c>
      <c r="U72" s="160">
        <f t="shared" si="44"/>
        <v>1.0000000002096936</v>
      </c>
      <c r="V72" s="160">
        <f t="shared" si="45"/>
        <v>2.0478951708815227E-5</v>
      </c>
      <c r="W72" s="98" t="str">
        <f t="shared" si="35"/>
        <v>1-0.000162669687355174i</v>
      </c>
      <c r="X72" s="160">
        <f t="shared" si="46"/>
        <v>1.0000000132307136</v>
      </c>
      <c r="Y72" s="160">
        <f t="shared" si="47"/>
        <v>-1.6266968592035E-4</v>
      </c>
      <c r="Z72" s="98" t="str">
        <f t="shared" si="36"/>
        <v>0.999999975714896+0.000313774327303979i</v>
      </c>
      <c r="AA72" s="160">
        <f t="shared" si="48"/>
        <v>1.0000000249420602</v>
      </c>
      <c r="AB72" s="160">
        <f t="shared" si="49"/>
        <v>3.1377432462654099E-4</v>
      </c>
      <c r="AC72" s="171" t="str">
        <f t="shared" si="50"/>
        <v>83.2655154654107-46.0897289003915i</v>
      </c>
      <c r="AD72" s="190">
        <f t="shared" si="51"/>
        <v>39.570039877926689</v>
      </c>
      <c r="AE72" s="169">
        <f t="shared" si="52"/>
        <v>-28.965721572966817</v>
      </c>
      <c r="AF72" s="98" t="str">
        <f t="shared" si="37"/>
        <v>-0.0000366300366300366</v>
      </c>
      <c r="AG72" s="98" t="str">
        <f t="shared" si="38"/>
        <v>0.0000150324220011254i</v>
      </c>
      <c r="AH72" s="98">
        <f t="shared" si="53"/>
        <v>1.5032422001125401E-5</v>
      </c>
      <c r="AI72" s="98">
        <f t="shared" si="54"/>
        <v>1.5707963267948966</v>
      </c>
      <c r="AJ72" s="98" t="str">
        <f t="shared" si="39"/>
        <v>1+0.00214703779894251i</v>
      </c>
      <c r="AK72" s="98">
        <f t="shared" si="55"/>
        <v>1.0000023048829987</v>
      </c>
      <c r="AL72" s="98">
        <f t="shared" si="56"/>
        <v>2.1470344998338856E-3</v>
      </c>
      <c r="AM72" s="98" t="str">
        <f t="shared" si="40"/>
        <v>1+0.148145608127033i</v>
      </c>
      <c r="AN72" s="98">
        <f t="shared" si="57"/>
        <v>1.0109140028742942</v>
      </c>
      <c r="AO72" s="98">
        <f t="shared" si="58"/>
        <v>0.14707586991716121</v>
      </c>
      <c r="AP72" s="168" t="str">
        <f t="shared" si="59"/>
        <v>-0.355758262109472+2.43749934565538i</v>
      </c>
      <c r="AQ72" s="98">
        <f t="shared" si="60"/>
        <v>7.8304321033712032</v>
      </c>
      <c r="AR72" s="169">
        <f t="shared" si="61"/>
        <v>98.303810599158993</v>
      </c>
      <c r="AS72" s="168" t="str">
        <f t="shared" si="62"/>
        <v>82.7212889605143+219.356441317297i</v>
      </c>
      <c r="AT72" s="190">
        <f t="shared" si="63"/>
        <v>47.400471981297912</v>
      </c>
      <c r="AU72" s="169">
        <f t="shared" si="64"/>
        <v>69.338089026192208</v>
      </c>
      <c r="AV72" s="225"/>
      <c r="AX72">
        <f t="shared" si="65"/>
        <v>0</v>
      </c>
      <c r="AY72">
        <f t="shared" si="66"/>
        <v>0</v>
      </c>
    </row>
    <row r="73" spans="1:51" x14ac:dyDescent="0.3">
      <c r="N73" s="170">
        <v>55</v>
      </c>
      <c r="O73" s="199">
        <f t="shared" si="41"/>
        <v>35.481338923357555</v>
      </c>
      <c r="P73" s="189" t="str">
        <f t="shared" si="32"/>
        <v>108.75</v>
      </c>
      <c r="Q73" s="160" t="str">
        <f t="shared" si="33"/>
        <v>1+0.565811129947034i</v>
      </c>
      <c r="R73" s="160">
        <f t="shared" si="42"/>
        <v>1.148974427379452</v>
      </c>
      <c r="S73" s="160">
        <f t="shared" si="43"/>
        <v>0.5149011810485602</v>
      </c>
      <c r="T73" s="160" t="str">
        <f t="shared" si="34"/>
        <v>1+0.0000209559677758162i</v>
      </c>
      <c r="U73" s="160">
        <f t="shared" si="44"/>
        <v>1.0000000002195764</v>
      </c>
      <c r="V73" s="160">
        <f t="shared" si="45"/>
        <v>2.0955967772748578E-5</v>
      </c>
      <c r="W73" s="98" t="str">
        <f t="shared" si="35"/>
        <v>1-0.00016645875112705i</v>
      </c>
      <c r="X73" s="160">
        <f t="shared" si="46"/>
        <v>1.000000013854258</v>
      </c>
      <c r="Y73" s="160">
        <f t="shared" si="47"/>
        <v>-1.6645874958960837E-4</v>
      </c>
      <c r="Z73" s="98" t="str">
        <f t="shared" si="36"/>
        <v>0.999999974570374+0.000321083070287769i</v>
      </c>
      <c r="AA73" s="160">
        <f t="shared" si="48"/>
        <v>1.000000026117543</v>
      </c>
      <c r="AB73" s="160">
        <f t="shared" si="49"/>
        <v>3.2108306741884254E-4</v>
      </c>
      <c r="AC73" s="171" t="str">
        <f t="shared" si="50"/>
        <v>82.3557295936836-46.6485296276667i</v>
      </c>
      <c r="AD73" s="190">
        <f t="shared" si="51"/>
        <v>39.522377953071022</v>
      </c>
      <c r="AE73" s="169">
        <f t="shared" si="52"/>
        <v>-29.528397940325718</v>
      </c>
      <c r="AF73" s="98" t="str">
        <f t="shared" si="37"/>
        <v>-0.0000366300366300366</v>
      </c>
      <c r="AG73" s="98" t="str">
        <f t="shared" si="38"/>
        <v>0.0000153825720907587i</v>
      </c>
      <c r="AH73" s="98">
        <f t="shared" si="53"/>
        <v>1.53825720907587E-5</v>
      </c>
      <c r="AI73" s="98">
        <f t="shared" si="54"/>
        <v>1.5707963267948966</v>
      </c>
      <c r="AJ73" s="98" t="str">
        <f t="shared" si="39"/>
        <v>1+0.00219704873381976i</v>
      </c>
      <c r="AK73" s="98">
        <f t="shared" si="55"/>
        <v>1.0000024135086569</v>
      </c>
      <c r="AL73" s="98">
        <f t="shared" si="56"/>
        <v>2.1970451987616399E-3</v>
      </c>
      <c r="AM73" s="98" t="str">
        <f t="shared" si="40"/>
        <v>1+0.151596362633563i</v>
      </c>
      <c r="AN73" s="98">
        <f t="shared" si="57"/>
        <v>1.011425458036195</v>
      </c>
      <c r="AO73" s="98">
        <f t="shared" si="58"/>
        <v>0.15045081565882476</v>
      </c>
      <c r="AP73" s="168" t="str">
        <f t="shared" si="59"/>
        <v>-0.355758184820709+2.38205026507573i</v>
      </c>
      <c r="AQ73" s="98">
        <f t="shared" si="60"/>
        <v>7.6348245302853313</v>
      </c>
      <c r="AR73" s="169">
        <f t="shared" si="61"/>
        <v>98.494315344262873</v>
      </c>
      <c r="AS73" s="168" t="str">
        <f t="shared" si="62"/>
        <v>81.8204174951425+212.771083734033i</v>
      </c>
      <c r="AT73" s="190">
        <f t="shared" si="63"/>
        <v>47.157202483356357</v>
      </c>
      <c r="AU73" s="169">
        <f t="shared" si="64"/>
        <v>68.965917403937155</v>
      </c>
      <c r="AV73" s="225"/>
      <c r="AX73">
        <f t="shared" si="65"/>
        <v>0</v>
      </c>
      <c r="AY73">
        <f t="shared" si="66"/>
        <v>0</v>
      </c>
    </row>
    <row r="74" spans="1:51" x14ac:dyDescent="0.3">
      <c r="N74" s="170">
        <v>56</v>
      </c>
      <c r="O74" s="199">
        <f t="shared" si="41"/>
        <v>36.307805477010156</v>
      </c>
      <c r="P74" s="189" t="str">
        <f t="shared" si="32"/>
        <v>108.75</v>
      </c>
      <c r="Q74" s="160" t="str">
        <f t="shared" si="33"/>
        <v>1+0.578990564229257i</v>
      </c>
      <c r="R74" s="160">
        <f t="shared" si="42"/>
        <v>1.1555215590660839</v>
      </c>
      <c r="S74" s="160">
        <f t="shared" si="43"/>
        <v>0.52482812309137283</v>
      </c>
      <c r="T74" s="160" t="str">
        <f t="shared" si="34"/>
        <v>1+0.000021444094971454i</v>
      </c>
      <c r="U74" s="160">
        <f t="shared" si="44"/>
        <v>1.0000000002299245</v>
      </c>
      <c r="V74" s="160">
        <f t="shared" si="45"/>
        <v>2.1444094968166984E-5</v>
      </c>
      <c r="W74" s="98" t="str">
        <f t="shared" si="35"/>
        <v>1-0.000170336073532117i</v>
      </c>
      <c r="X74" s="160">
        <f t="shared" si="46"/>
        <v>1.000000014507189</v>
      </c>
      <c r="Y74" s="160">
        <f t="shared" si="47"/>
        <v>-1.7033607188471863E-4</v>
      </c>
      <c r="Z74" s="98" t="str">
        <f t="shared" si="36"/>
        <v>0.999999973371913+0.000328562055765464i</v>
      </c>
      <c r="AA74" s="160">
        <f t="shared" si="48"/>
        <v>1.0000000273484253</v>
      </c>
      <c r="AB74" s="160">
        <f t="shared" si="49"/>
        <v>3.2856205269135385E-4</v>
      </c>
      <c r="AC74" s="171" t="str">
        <f t="shared" si="50"/>
        <v>81.42411214007-47.1957157529377i</v>
      </c>
      <c r="AD74" s="190">
        <f t="shared" si="51"/>
        <v>39.473024148774563</v>
      </c>
      <c r="AE74" s="169">
        <f t="shared" si="52"/>
        <v>-30.097792523716173</v>
      </c>
      <c r="AF74" s="98" t="str">
        <f t="shared" si="37"/>
        <v>-0.0000366300366300366</v>
      </c>
      <c r="AG74" s="98" t="str">
        <f t="shared" si="38"/>
        <v>0.0000157408782237268i</v>
      </c>
      <c r="AH74" s="98">
        <f t="shared" si="53"/>
        <v>1.5740878223726799E-5</v>
      </c>
      <c r="AI74" s="98">
        <f t="shared" si="54"/>
        <v>1.5707963267948966</v>
      </c>
      <c r="AJ74" s="98" t="str">
        <f t="shared" si="39"/>
        <v>1+0.00224822457301707i</v>
      </c>
      <c r="AK74" s="98">
        <f t="shared" si="55"/>
        <v>1.0000025272536719</v>
      </c>
      <c r="AL74" s="98">
        <f t="shared" si="56"/>
        <v>2.2482207851345663E-3</v>
      </c>
      <c r="AM74" s="98" t="str">
        <f t="shared" si="40"/>
        <v>1+0.155127495538178i</v>
      </c>
      <c r="AN74" s="98">
        <f t="shared" si="57"/>
        <v>1.011960740281928</v>
      </c>
      <c r="AO74" s="98">
        <f t="shared" si="58"/>
        <v>0.15390080203805126</v>
      </c>
      <c r="AP74" s="168" t="str">
        <f t="shared" si="59"/>
        <v>-0.355758103889482+2.32786417906079i</v>
      </c>
      <c r="AQ74" s="98">
        <f t="shared" si="60"/>
        <v>7.4394192073641143</v>
      </c>
      <c r="AR74" s="169">
        <f t="shared" si="61"/>
        <v>98.689052858056897</v>
      </c>
      <c r="AS74" s="168" t="str">
        <f t="shared" si="62"/>
        <v>80.8979283605629+206.33453231067i</v>
      </c>
      <c r="AT74" s="190">
        <f t="shared" si="63"/>
        <v>46.912443356138681</v>
      </c>
      <c r="AU74" s="169">
        <f t="shared" si="64"/>
        <v>68.591260334340731</v>
      </c>
      <c r="AV74" s="225"/>
      <c r="AX74">
        <f t="shared" si="65"/>
        <v>0</v>
      </c>
      <c r="AY74">
        <f t="shared" si="66"/>
        <v>0</v>
      </c>
    </row>
    <row r="75" spans="1:51" x14ac:dyDescent="0.3">
      <c r="N75" s="170">
        <v>57</v>
      </c>
      <c r="O75" s="199">
        <f t="shared" si="41"/>
        <v>37.15352290971726</v>
      </c>
      <c r="P75" s="189" t="str">
        <f t="shared" si="32"/>
        <v>108.75</v>
      </c>
      <c r="Q75" s="160" t="str">
        <f t="shared" si="33"/>
        <v>1+0.592476986972479i</v>
      </c>
      <c r="R75" s="160">
        <f t="shared" si="42"/>
        <v>1.1623377220463882</v>
      </c>
      <c r="S75" s="160">
        <f t="shared" si="43"/>
        <v>0.53486950955251855</v>
      </c>
      <c r="T75" s="160" t="str">
        <f t="shared" si="34"/>
        <v>1+0.0000219435921100919i</v>
      </c>
      <c r="U75" s="160">
        <f t="shared" si="44"/>
        <v>1.0000000002407607</v>
      </c>
      <c r="V75" s="160">
        <f t="shared" si="45"/>
        <v>2.1943592106569798E-5</v>
      </c>
      <c r="W75" s="98" t="str">
        <f t="shared" si="35"/>
        <v>1-0.000174303710378035i</v>
      </c>
      <c r="X75" s="160">
        <f t="shared" si="46"/>
        <v>1.0000000151908917</v>
      </c>
      <c r="Y75" s="160">
        <f t="shared" si="47"/>
        <v>-1.7430370861281583E-4</v>
      </c>
      <c r="Z75" s="98" t="str">
        <f t="shared" si="36"/>
        <v>0.99999997211697+0.000336215249194158i</v>
      </c>
      <c r="AA75" s="160">
        <f t="shared" si="48"/>
        <v>1.0000000286373167</v>
      </c>
      <c r="AB75" s="160">
        <f t="shared" si="49"/>
        <v>3.3621524590018959E-4</v>
      </c>
      <c r="AC75" s="171" t="str">
        <f t="shared" si="50"/>
        <v>80.4708909746271-47.7302835914842i</v>
      </c>
      <c r="AD75" s="190">
        <f t="shared" si="51"/>
        <v>39.421938548771969</v>
      </c>
      <c r="AE75" s="169">
        <f t="shared" si="52"/>
        <v>-30.673758793831588</v>
      </c>
      <c r="AF75" s="98" t="str">
        <f t="shared" si="37"/>
        <v>-0.0000366300366300366</v>
      </c>
      <c r="AG75" s="98" t="str">
        <f t="shared" si="38"/>
        <v>0.0000161075303786844i</v>
      </c>
      <c r="AH75" s="98">
        <f t="shared" si="53"/>
        <v>1.6107530378684399E-5</v>
      </c>
      <c r="AI75" s="98">
        <f t="shared" si="54"/>
        <v>1.5707963267948966</v>
      </c>
      <c r="AJ75" s="98" t="str">
        <f t="shared" si="39"/>
        <v>1+0.00230059245064176i</v>
      </c>
      <c r="AK75" s="98">
        <f t="shared" si="55"/>
        <v>1.0000026463593104</v>
      </c>
      <c r="AL75" s="98">
        <f t="shared" si="56"/>
        <v>2.3005883918531117E-3</v>
      </c>
      <c r="AM75" s="98" t="str">
        <f t="shared" si="40"/>
        <v>1+0.158740879094281i</v>
      </c>
      <c r="AN75" s="98">
        <f t="shared" si="57"/>
        <v>1.0125209462996927</v>
      </c>
      <c r="AO75" s="98">
        <f t="shared" si="58"/>
        <v>0.15742732960901287</v>
      </c>
      <c r="AP75" s="168" t="str">
        <f t="shared" si="59"/>
        <v>-0.355758019144117+2.27491235742934i</v>
      </c>
      <c r="AQ75" s="98">
        <f t="shared" si="60"/>
        <v>7.2442252183070144</v>
      </c>
      <c r="AR75" s="169">
        <f t="shared" si="61"/>
        <v>98.888107561361352</v>
      </c>
      <c r="AS75" s="168" t="str">
        <f t="shared" si="62"/>
        <v>79.9540471939787+200.044655435222i</v>
      </c>
      <c r="AT75" s="190">
        <f t="shared" si="63"/>
        <v>46.666163767078999</v>
      </c>
      <c r="AU75" s="169">
        <f t="shared" si="64"/>
        <v>68.214348767529813</v>
      </c>
      <c r="AV75" s="225"/>
      <c r="AX75">
        <f t="shared" si="65"/>
        <v>0</v>
      </c>
      <c r="AY75">
        <f t="shared" si="66"/>
        <v>0</v>
      </c>
    </row>
    <row r="76" spans="1:51" x14ac:dyDescent="0.3">
      <c r="N76" s="170">
        <v>58</v>
      </c>
      <c r="O76" s="199">
        <f t="shared" si="41"/>
        <v>38.018939632056139</v>
      </c>
      <c r="P76" s="189" t="str">
        <f t="shared" si="32"/>
        <v>108.75</v>
      </c>
      <c r="Q76" s="160" t="str">
        <f t="shared" si="33"/>
        <v>1+0.606277548856553i</v>
      </c>
      <c r="R76" s="160">
        <f t="shared" si="42"/>
        <v>1.1694325402722083</v>
      </c>
      <c r="S76" s="160">
        <f t="shared" si="43"/>
        <v>0.54502256420044903</v>
      </c>
      <c r="T76" s="160" t="str">
        <f t="shared" si="34"/>
        <v>1+0.0000224547240317243i</v>
      </c>
      <c r="U76" s="160">
        <f t="shared" si="44"/>
        <v>1.0000000002521072</v>
      </c>
      <c r="V76" s="160">
        <f t="shared" si="45"/>
        <v>2.2454724027950301E-5</v>
      </c>
      <c r="W76" s="98" t="str">
        <f t="shared" si="35"/>
        <v>1-0.000178363765358377i</v>
      </c>
      <c r="X76" s="160">
        <f t="shared" si="46"/>
        <v>1.0000000159068163</v>
      </c>
      <c r="Y76" s="160">
        <f t="shared" si="47"/>
        <v>-1.7836376346691058E-4</v>
      </c>
      <c r="Z76" s="98" t="str">
        <f t="shared" si="36"/>
        <v>0.999999970802883+0.000344046708398309i</v>
      </c>
      <c r="AA76" s="160">
        <f t="shared" si="48"/>
        <v>1.0000000299869518</v>
      </c>
      <c r="AB76" s="160">
        <f t="shared" si="49"/>
        <v>3.4404670486875834E-4</v>
      </c>
      <c r="AC76" s="171" t="str">
        <f t="shared" si="50"/>
        <v>79.4963515031674-48.2512233165559i</v>
      </c>
      <c r="AD76" s="190">
        <f t="shared" si="51"/>
        <v>39.369081708128235</v>
      </c>
      <c r="AE76" s="169">
        <f t="shared" si="52"/>
        <v>-31.256138022175836</v>
      </c>
      <c r="AF76" s="98" t="str">
        <f t="shared" si="37"/>
        <v>-0.0000366300366300366</v>
      </c>
      <c r="AG76" s="98" t="str">
        <f t="shared" si="38"/>
        <v>0.0000164827229594571i</v>
      </c>
      <c r="AH76" s="98">
        <f t="shared" si="53"/>
        <v>1.64827229594571E-5</v>
      </c>
      <c r="AI76" s="98">
        <f t="shared" si="54"/>
        <v>1.5707963267948966</v>
      </c>
      <c r="AJ76" s="98" t="str">
        <f t="shared" si="39"/>
        <v>1+0.00235418013283572i</v>
      </c>
      <c r="AK76" s="98">
        <f t="shared" si="55"/>
        <v>1.0000027710782096</v>
      </c>
      <c r="AL76" s="98">
        <f t="shared" si="56"/>
        <v>2.3541757837659779E-3</v>
      </c>
      <c r="AM76" s="98" t="str">
        <f t="shared" si="40"/>
        <v>1+0.162438429165664i</v>
      </c>
      <c r="AN76" s="98">
        <f t="shared" si="57"/>
        <v>1.0131072220006174</v>
      </c>
      <c r="AO76" s="98">
        <f t="shared" si="58"/>
        <v>0.16103191714520868</v>
      </c>
      <c r="AP76" s="168" t="str">
        <f t="shared" si="59"/>
        <v>-0.355757930404872+2.22316672442345i</v>
      </c>
      <c r="AQ76" s="98">
        <f t="shared" si="60"/>
        <v>7.0492520332817747</v>
      </c>
      <c r="AR76" s="169">
        <f t="shared" si="61"/>
        <v>99.091564882679137</v>
      </c>
      <c r="AS76" s="168" t="str">
        <f t="shared" si="62"/>
        <v>78.9890566045869+193.899398721513i</v>
      </c>
      <c r="AT76" s="190">
        <f t="shared" si="63"/>
        <v>46.418333741410009</v>
      </c>
      <c r="AU76" s="169">
        <f t="shared" si="64"/>
        <v>67.83542686050329</v>
      </c>
      <c r="AV76" s="225"/>
      <c r="AX76">
        <f t="shared" si="65"/>
        <v>0</v>
      </c>
      <c r="AY76">
        <f t="shared" si="66"/>
        <v>0</v>
      </c>
    </row>
    <row r="77" spans="1:51" x14ac:dyDescent="0.3">
      <c r="N77" s="170">
        <v>59</v>
      </c>
      <c r="O77" s="199">
        <f t="shared" si="41"/>
        <v>38.904514499428053</v>
      </c>
      <c r="P77" s="189" t="str">
        <f t="shared" si="32"/>
        <v>108.75</v>
      </c>
      <c r="Q77" s="160" t="str">
        <f t="shared" si="33"/>
        <v>1+0.620399567122063i</v>
      </c>
      <c r="R77" s="160">
        <f t="shared" si="42"/>
        <v>1.1768158831717233</v>
      </c>
      <c r="S77" s="160">
        <f t="shared" si="43"/>
        <v>0.55528429684391922</v>
      </c>
      <c r="T77" s="160" t="str">
        <f t="shared" si="34"/>
        <v>1+0.0000229777617452617i</v>
      </c>
      <c r="U77" s="160">
        <f t="shared" si="44"/>
        <v>1.0000000002639888</v>
      </c>
      <c r="V77" s="160">
        <f t="shared" si="45"/>
        <v>2.2977761741217785E-5</v>
      </c>
      <c r="W77" s="98" t="str">
        <f t="shared" si="35"/>
        <v>1-0.000182518391168036i</v>
      </c>
      <c r="X77" s="160">
        <f t="shared" si="46"/>
        <v>1.0000000166564813</v>
      </c>
      <c r="Y77" s="160">
        <f t="shared" si="47"/>
        <v>-1.8251838914129325E-4</v>
      </c>
      <c r="Z77" s="98" t="str">
        <f t="shared" si="36"/>
        <v>0.999999969426865+0.00035206058572125i</v>
      </c>
      <c r="AA77" s="160">
        <f t="shared" si="48"/>
        <v>1.0000000314001929</v>
      </c>
      <c r="AB77" s="160">
        <f t="shared" si="49"/>
        <v>3.5206058193926849E-4</v>
      </c>
      <c r="AC77" s="171" t="str">
        <f t="shared" si="50"/>
        <v>78.5008382269633-48.7575226830102i</v>
      </c>
      <c r="AD77" s="190">
        <f t="shared" si="51"/>
        <v>39.314414760435888</v>
      </c>
      <c r="AE77" s="169">
        <f t="shared" si="52"/>
        <v>-31.844759229135111</v>
      </c>
      <c r="AF77" s="98" t="str">
        <f t="shared" si="37"/>
        <v>-0.0000366300366300366</v>
      </c>
      <c r="AG77" s="98" t="str">
        <f t="shared" si="38"/>
        <v>0.0000168666548981175i</v>
      </c>
      <c r="AH77" s="98">
        <f t="shared" si="53"/>
        <v>1.6866654898117501E-5</v>
      </c>
      <c r="AI77" s="98">
        <f t="shared" si="54"/>
        <v>1.5707963267948966</v>
      </c>
      <c r="AJ77" s="98" t="str">
        <f t="shared" si="39"/>
        <v>1+0.00240901603249737i</v>
      </c>
      <c r="AK77" s="98">
        <f t="shared" si="55"/>
        <v>1.0000029016749126</v>
      </c>
      <c r="AL77" s="98">
        <f t="shared" si="56"/>
        <v>2.409011372385912E-3</v>
      </c>
      <c r="AM77" s="98" t="str">
        <f t="shared" si="40"/>
        <v>1+0.166222106242318i</v>
      </c>
      <c r="AN77" s="98">
        <f t="shared" si="57"/>
        <v>1.0137207646110602</v>
      </c>
      <c r="AO77" s="98">
        <f t="shared" si="58"/>
        <v>0.16471610097904607</v>
      </c>
      <c r="AP77" s="168" t="str">
        <f t="shared" si="59"/>
        <v>-0.355757837483524+2.17259984382225i</v>
      </c>
      <c r="AQ77" s="98">
        <f t="shared" si="60"/>
        <v>6.8545095233491296</v>
      </c>
      <c r="AR77" s="169">
        <f t="shared" si="61"/>
        <v>99.29951121951332</v>
      </c>
      <c r="AS77" s="168" t="str">
        <f t="shared" si="62"/>
        <v>78.0032977179993+187.896779702578i</v>
      </c>
      <c r="AT77" s="190">
        <f t="shared" si="63"/>
        <v>46.168924283785024</v>
      </c>
      <c r="AU77" s="169">
        <f t="shared" si="64"/>
        <v>67.454751990378256</v>
      </c>
      <c r="AV77" s="225"/>
      <c r="AX77">
        <f t="shared" si="65"/>
        <v>0</v>
      </c>
      <c r="AY77">
        <f t="shared" si="66"/>
        <v>0</v>
      </c>
    </row>
    <row r="78" spans="1:51" x14ac:dyDescent="0.3">
      <c r="N78" s="170">
        <v>60</v>
      </c>
      <c r="O78" s="199">
        <f t="shared" si="41"/>
        <v>39.810717055349755</v>
      </c>
      <c r="P78" s="189" t="str">
        <f t="shared" si="32"/>
        <v>108.75</v>
      </c>
      <c r="Q78" s="160" t="str">
        <f t="shared" si="33"/>
        <v>1+0.634850529450019i</v>
      </c>
      <c r="R78" s="160">
        <f t="shared" si="42"/>
        <v>1.1844978660778454</v>
      </c>
      <c r="S78" s="160">
        <f t="shared" si="43"/>
        <v>0.56565150323333269</v>
      </c>
      <c r="T78" s="160" t="str">
        <f t="shared" si="34"/>
        <v>1+0.000023512982572223i</v>
      </c>
      <c r="U78" s="160">
        <f t="shared" si="44"/>
        <v>1.0000000002764302</v>
      </c>
      <c r="V78" s="160">
        <f t="shared" si="45"/>
        <v>2.3512982567889869E-5</v>
      </c>
      <c r="W78" s="98" t="str">
        <f t="shared" si="35"/>
        <v>1-0.000186769790644608i</v>
      </c>
      <c r="X78" s="160">
        <f t="shared" si="46"/>
        <v>1.0000000174414772</v>
      </c>
      <c r="Y78" s="160">
        <f t="shared" si="47"/>
        <v>-1.8676978847291401E-4</v>
      </c>
      <c r="Z78" s="98" t="str">
        <f t="shared" si="36"/>
        <v>0.999999967985998+0.000360261130226812i</v>
      </c>
      <c r="AA78" s="160">
        <f t="shared" si="48"/>
        <v>1.0000000328800389</v>
      </c>
      <c r="AB78" s="160">
        <f t="shared" si="49"/>
        <v>3.6026112617434556E-4</v>
      </c>
      <c r="AC78" s="171" t="str">
        <f t="shared" si="50"/>
        <v>77.4847560364782-49.2481709657136i</v>
      </c>
      <c r="AD78" s="190">
        <f t="shared" si="51"/>
        <v>39.257899527638429</v>
      </c>
      <c r="AE78" s="169">
        <f t="shared" si="52"/>
        <v>-32.439439178508188</v>
      </c>
      <c r="AF78" s="98" t="str">
        <f t="shared" si="37"/>
        <v>-0.0000366300366300366</v>
      </c>
      <c r="AG78" s="98" t="str">
        <f t="shared" si="38"/>
        <v>0.0000172595297604616i</v>
      </c>
      <c r="AH78" s="98">
        <f t="shared" si="53"/>
        <v>1.7259529760461602E-5</v>
      </c>
      <c r="AI78" s="98">
        <f t="shared" si="54"/>
        <v>1.5707963267948966</v>
      </c>
      <c r="AJ78" s="98" t="str">
        <f t="shared" si="39"/>
        <v>1+0.00246512922434654i</v>
      </c>
      <c r="AK78" s="98">
        <f t="shared" si="55"/>
        <v>1.0000030384264302</v>
      </c>
      <c r="AL78" s="98">
        <f t="shared" si="56"/>
        <v>2.4651242309479673E-3</v>
      </c>
      <c r="AM78" s="98" t="str">
        <f t="shared" si="40"/>
        <v>1+0.17009391647991i</v>
      </c>
      <c r="AN78" s="98">
        <f t="shared" si="57"/>
        <v>1.0143628248430019</v>
      </c>
      <c r="AO78" s="98">
        <f t="shared" si="58"/>
        <v>0.16848143426127943</v>
      </c>
      <c r="AP78" s="168" t="str">
        <f t="shared" si="59"/>
        <v>-0.355757740182973+2.12318490439488i</v>
      </c>
      <c r="AQ78" s="98">
        <f t="shared" si="60"/>
        <v>6.6600079752343646</v>
      </c>
      <c r="AR78" s="169">
        <f t="shared" si="61"/>
        <v>99.512033895073401</v>
      </c>
      <c r="AS78" s="168" t="str">
        <f t="shared" si="62"/>
        <v>76.9971714572949+182.034882348278i</v>
      </c>
      <c r="AT78" s="190">
        <f t="shared" si="63"/>
        <v>45.917907502872808</v>
      </c>
      <c r="AU78" s="169">
        <f t="shared" si="64"/>
        <v>67.072594716565249</v>
      </c>
      <c r="AV78" s="225"/>
      <c r="AX78">
        <f t="shared" si="65"/>
        <v>0</v>
      </c>
      <c r="AY78">
        <f t="shared" si="66"/>
        <v>0</v>
      </c>
    </row>
    <row r="79" spans="1:51" x14ac:dyDescent="0.3">
      <c r="N79" s="170">
        <v>61</v>
      </c>
      <c r="O79" s="199">
        <f t="shared" si="41"/>
        <v>40.738027780411279</v>
      </c>
      <c r="P79" s="189" t="str">
        <f t="shared" si="32"/>
        <v>108.75</v>
      </c>
      <c r="Q79" s="160" t="str">
        <f t="shared" si="33"/>
        <v>1+0.649638097931932i</v>
      </c>
      <c r="R79" s="160">
        <f t="shared" si="42"/>
        <v>1.1924888503816791</v>
      </c>
      <c r="S79" s="160">
        <f t="shared" si="43"/>
        <v>0.57612076581630256</v>
      </c>
      <c r="T79" s="160" t="str">
        <f t="shared" si="34"/>
        <v>1+0.0000240606702937753i</v>
      </c>
      <c r="U79" s="160">
        <f t="shared" si="44"/>
        <v>1.0000000002894578</v>
      </c>
      <c r="V79" s="160">
        <f t="shared" si="45"/>
        <v>2.4060670289132267E-5</v>
      </c>
      <c r="W79" s="98" t="str">
        <f t="shared" si="35"/>
        <v>1-0.000191120217936372i</v>
      </c>
      <c r="X79" s="160">
        <f t="shared" si="46"/>
        <v>1.0000000182634687</v>
      </c>
      <c r="Y79" s="160">
        <f t="shared" si="47"/>
        <v>-1.9112021560935996E-4</v>
      </c>
      <c r="Z79" s="98" t="str">
        <f t="shared" si="36"/>
        <v>0.999999966477224+0.000368652689952241i</v>
      </c>
      <c r="AA79" s="160">
        <f t="shared" si="48"/>
        <v>1.0000000344296269</v>
      </c>
      <c r="AB79" s="160">
        <f t="shared" si="49"/>
        <v>3.6865268560994525E-4</v>
      </c>
      <c r="AC79" s="171" t="str">
        <f t="shared" si="50"/>
        <v>76.4485712116799-49.7221630929717i</v>
      </c>
      <c r="AD79" s="190">
        <f t="shared" si="51"/>
        <v>39.199498631965412</v>
      </c>
      <c r="AE79" s="169">
        <f t="shared" si="52"/>
        <v>-33.039982420984842</v>
      </c>
      <c r="AF79" s="98" t="str">
        <f t="shared" si="37"/>
        <v>-0.0000366300366300366</v>
      </c>
      <c r="AG79" s="98" t="str">
        <f t="shared" si="38"/>
        <v>0.0000176615558539414i</v>
      </c>
      <c r="AH79" s="98">
        <f t="shared" si="53"/>
        <v>1.7661555853941399E-5</v>
      </c>
      <c r="AI79" s="98">
        <f t="shared" si="54"/>
        <v>1.5707963267948966</v>
      </c>
      <c r="AJ79" s="98" t="str">
        <f t="shared" si="39"/>
        <v>1+0.0025225494603403i</v>
      </c>
      <c r="AK79" s="98">
        <f t="shared" si="55"/>
        <v>1.0000031816228285</v>
      </c>
      <c r="AL79" s="98">
        <f t="shared" si="56"/>
        <v>2.5225441098182502E-3</v>
      </c>
      <c r="AM79" s="98" t="str">
        <f t="shared" si="40"/>
        <v>1+0.17405591276348i</v>
      </c>
      <c r="AN79" s="98">
        <f t="shared" si="57"/>
        <v>1.0150347091444352</v>
      </c>
      <c r="AO79" s="98">
        <f t="shared" si="58"/>
        <v>0.1723294861352333</v>
      </c>
      <c r="AP79" s="168" t="str">
        <f t="shared" si="59"/>
        <v>-0.355757638296853+2.0748957056849i</v>
      </c>
      <c r="AQ79" s="98">
        <f t="shared" si="60"/>
        <v>6.4657581064343894</v>
      </c>
      <c r="AR79" s="169">
        <f t="shared" si="61"/>
        <v>99.729221110078967</v>
      </c>
      <c r="AS79" s="168" t="str">
        <f t="shared" si="62"/>
        <v>75.9711395335352+176.311851425827i</v>
      </c>
      <c r="AT79" s="190">
        <f t="shared" si="63"/>
        <v>45.665256738399776</v>
      </c>
      <c r="AU79" s="169">
        <f t="shared" si="64"/>
        <v>66.689238689094054</v>
      </c>
      <c r="AV79" s="225"/>
      <c r="AX79">
        <f t="shared" si="65"/>
        <v>0</v>
      </c>
      <c r="AY79">
        <f t="shared" si="66"/>
        <v>0</v>
      </c>
    </row>
    <row r="80" spans="1:51" x14ac:dyDescent="0.3">
      <c r="N80" s="170">
        <v>62</v>
      </c>
      <c r="O80" s="199">
        <f t="shared" si="41"/>
        <v>41.686938347033561</v>
      </c>
      <c r="P80" s="189" t="str">
        <f t="shared" si="32"/>
        <v>108.75</v>
      </c>
      <c r="Q80" s="160" t="str">
        <f t="shared" si="33"/>
        <v>1+0.664770113132345i</v>
      </c>
      <c r="R80" s="160">
        <f t="shared" si="42"/>
        <v>1.2007994434184215</v>
      </c>
      <c r="S80" s="160">
        <f t="shared" si="43"/>
        <v>0.58668845538626191</v>
      </c>
      <c r="T80" s="160" t="str">
        <f t="shared" si="34"/>
        <v>1+0.0000246211153011981i</v>
      </c>
      <c r="U80" s="160">
        <f t="shared" si="44"/>
        <v>1.0000000003030998</v>
      </c>
      <c r="V80" s="160">
        <f t="shared" si="45"/>
        <v>2.4621115296222998E-5</v>
      </c>
      <c r="W80" s="98" t="str">
        <f t="shared" si="35"/>
        <v>1-0.00019557197969746i</v>
      </c>
      <c r="X80" s="160">
        <f t="shared" si="46"/>
        <v>1.0000000191241996</v>
      </c>
      <c r="Y80" s="160">
        <f t="shared" si="47"/>
        <v>-1.9557197720402168E-4</v>
      </c>
      <c r="Z80" s="98" t="str">
        <f t="shared" si="36"/>
        <v>0.999999964897345+0.000377239714213579i</v>
      </c>
      <c r="AA80" s="160">
        <f t="shared" si="48"/>
        <v>1.0000000360522461</v>
      </c>
      <c r="AB80" s="160">
        <f t="shared" si="49"/>
        <v>3.7723970956072498E-4</v>
      </c>
      <c r="AC80" s="171" t="str">
        <f t="shared" si="50"/>
        <v>75.3928121028848-50.1785039516706i</v>
      </c>
      <c r="AD80" s="190">
        <f t="shared" si="51"/>
        <v>39.139175609415517</v>
      </c>
      <c r="AE80" s="169">
        <f t="shared" si="52"/>
        <v>-33.646181388796123</v>
      </c>
      <c r="AF80" s="98" t="str">
        <f t="shared" si="37"/>
        <v>-0.0000366300366300366</v>
      </c>
      <c r="AG80" s="98" t="str">
        <f t="shared" si="38"/>
        <v>0.0000180729463381134i</v>
      </c>
      <c r="AH80" s="98">
        <f t="shared" si="53"/>
        <v>1.8072946338113401E-5</v>
      </c>
      <c r="AI80" s="98">
        <f t="shared" si="54"/>
        <v>1.5707963267948966</v>
      </c>
      <c r="AJ80" s="98" t="str">
        <f t="shared" si="39"/>
        <v>1+0.00258130718544784i</v>
      </c>
      <c r="AK80" s="98">
        <f t="shared" si="55"/>
        <v>1.0000033315678432</v>
      </c>
      <c r="AL80" s="98">
        <f t="shared" si="56"/>
        <v>2.5813014522612023E-3</v>
      </c>
      <c r="AM80" s="98" t="str">
        <f t="shared" si="40"/>
        <v>1+0.1781101957959i</v>
      </c>
      <c r="AN80" s="98">
        <f t="shared" si="57"/>
        <v>1.01573778203159</v>
      </c>
      <c r="AO80" s="98">
        <f t="shared" si="58"/>
        <v>0.17626184082051813</v>
      </c>
      <c r="AP80" s="168" t="str">
        <f t="shared" si="59"/>
        <v>-0.355757531609048+2.02770664411832i</v>
      </c>
      <c r="AQ80" s="98">
        <f t="shared" si="60"/>
        <v>6.2717710806450908</v>
      </c>
      <c r="AR80" s="169">
        <f t="shared" si="61"/>
        <v>99.951161889356896</v>
      </c>
      <c r="AS80" s="168" t="str">
        <f t="shared" si="62"/>
        <v>74.9257251199328+170.725886725465i</v>
      </c>
      <c r="AT80" s="190">
        <f t="shared" si="63"/>
        <v>45.410946690060612</v>
      </c>
      <c r="AU80" s="169">
        <f t="shared" si="64"/>
        <v>66.304980500560788</v>
      </c>
      <c r="AV80" s="225"/>
      <c r="AX80">
        <f t="shared" si="65"/>
        <v>0</v>
      </c>
      <c r="AY80">
        <f t="shared" si="66"/>
        <v>0</v>
      </c>
    </row>
    <row r="81" spans="14:51" x14ac:dyDescent="0.3">
      <c r="N81" s="170">
        <v>63</v>
      </c>
      <c r="O81" s="199">
        <f t="shared" si="41"/>
        <v>42.657951880159267</v>
      </c>
      <c r="P81" s="189" t="str">
        <f t="shared" si="32"/>
        <v>108.75</v>
      </c>
      <c r="Q81" s="160" t="str">
        <f t="shared" si="33"/>
        <v>1+0.680254598246013i</v>
      </c>
      <c r="R81" s="160">
        <f t="shared" si="42"/>
        <v>1.2094404980960596</v>
      </c>
      <c r="S81" s="160">
        <f t="shared" si="43"/>
        <v>0.59735073365770386</v>
      </c>
      <c r="T81" s="160" t="str">
        <f t="shared" si="34"/>
        <v>1+0.0000251946147498524i</v>
      </c>
      <c r="U81" s="160">
        <f t="shared" si="44"/>
        <v>1.0000000003173843</v>
      </c>
      <c r="V81" s="160">
        <f t="shared" si="45"/>
        <v>2.5194614744521482E-5</v>
      </c>
      <c r="W81" s="98" t="str">
        <f t="shared" si="35"/>
        <v>1-0.000200127436310885i</v>
      </c>
      <c r="X81" s="160">
        <f t="shared" si="46"/>
        <v>1.0000000200254953</v>
      </c>
      <c r="Y81" s="160">
        <f t="shared" si="47"/>
        <v>-2.001274336391177E-4</v>
      </c>
      <c r="Z81" s="98" t="str">
        <f t="shared" si="36"/>
        <v>0.999999963243008+0.000386026755964749i</v>
      </c>
      <c r="AA81" s="160">
        <f t="shared" si="48"/>
        <v>1.0000000377513361</v>
      </c>
      <c r="AB81" s="160">
        <f t="shared" si="49"/>
        <v>3.8602675097912603E-4</v>
      </c>
      <c r="AC81" s="171" t="str">
        <f t="shared" si="50"/>
        <v>74.3180694679635-50.6162128373111i</v>
      </c>
      <c r="AD81" s="190">
        <f t="shared" si="51"/>
        <v>39.076895024179564</v>
      </c>
      <c r="AE81" s="169">
        <f t="shared" si="52"/>
        <v>-34.25781654346099</v>
      </c>
      <c r="AF81" s="98" t="str">
        <f t="shared" si="37"/>
        <v>-0.0000366300366300366</v>
      </c>
      <c r="AG81" s="98" t="str">
        <f t="shared" si="38"/>
        <v>0.0000184939193376575i</v>
      </c>
      <c r="AH81" s="98">
        <f t="shared" si="53"/>
        <v>1.8493919337657499E-5</v>
      </c>
      <c r="AI81" s="98">
        <f t="shared" si="54"/>
        <v>1.5707963267948966</v>
      </c>
      <c r="AJ81" s="98" t="str">
        <f t="shared" si="39"/>
        <v>1+0.00264143355379273i</v>
      </c>
      <c r="AK81" s="98">
        <f t="shared" si="55"/>
        <v>1.0000034885795244</v>
      </c>
      <c r="AL81" s="98">
        <f t="shared" si="56"/>
        <v>2.6414274105737243E-3</v>
      </c>
      <c r="AM81" s="98" t="str">
        <f t="shared" si="40"/>
        <v>1+0.182258915211698i</v>
      </c>
      <c r="AN81" s="98">
        <f t="shared" si="57"/>
        <v>1.0164734685047834</v>
      </c>
      <c r="AO81" s="98">
        <f t="shared" si="58"/>
        <v>0.1802800966008011</v>
      </c>
      <c r="AP81" s="168" t="str">
        <f t="shared" si="59"/>
        <v>-0.355757419893272+1.98159269942838i</v>
      </c>
      <c r="AQ81" s="98">
        <f t="shared" si="60"/>
        <v>6.0780585234942226</v>
      </c>
      <c r="AR81" s="169">
        <f t="shared" si="61"/>
        <v>100.17794602292061</v>
      </c>
      <c r="AS81" s="168" t="str">
        <f t="shared" si="62"/>
        <v>73.8615131857571+165.275237177098i</v>
      </c>
      <c r="AT81" s="190">
        <f t="shared" si="63"/>
        <v>45.154953547673777</v>
      </c>
      <c r="AU81" s="169">
        <f t="shared" si="64"/>
        <v>65.920129479459604</v>
      </c>
      <c r="AV81" s="225"/>
      <c r="AX81">
        <f t="shared" si="65"/>
        <v>0</v>
      </c>
      <c r="AY81">
        <f t="shared" si="66"/>
        <v>0</v>
      </c>
    </row>
    <row r="82" spans="14:51" x14ac:dyDescent="0.3">
      <c r="N82" s="170">
        <v>64</v>
      </c>
      <c r="O82" s="199">
        <f t="shared" si="41"/>
        <v>43.651583224016633</v>
      </c>
      <c r="P82" s="189" t="str">
        <f t="shared" si="32"/>
        <v>108.75</v>
      </c>
      <c r="Q82" s="160" t="str">
        <f t="shared" si="33"/>
        <v>1+0.696099763351904i</v>
      </c>
      <c r="R82" s="160">
        <f t="shared" si="42"/>
        <v>1.2184231122802034</v>
      </c>
      <c r="S82" s="160">
        <f t="shared" si="43"/>
        <v>0.60810355679554184</v>
      </c>
      <c r="T82" s="160" t="str">
        <f t="shared" si="34"/>
        <v>1+0.0000257814727167373i</v>
      </c>
      <c r="U82" s="160">
        <f t="shared" si="44"/>
        <v>1.0000000003323422</v>
      </c>
      <c r="V82" s="160">
        <f t="shared" si="45"/>
        <v>2.5781472711025122E-5</v>
      </c>
      <c r="W82" s="98" t="str">
        <f t="shared" si="35"/>
        <v>1-0.000204789003140041i</v>
      </c>
      <c r="X82" s="160">
        <f t="shared" si="46"/>
        <v>1.0000000209692677</v>
      </c>
      <c r="Y82" s="160">
        <f t="shared" si="47"/>
        <v>-2.0478900027719077E-4</v>
      </c>
      <c r="Z82" s="98" t="str">
        <f t="shared" si="36"/>
        <v>0.999999961510704+0.0003950184742116i</v>
      </c>
      <c r="AA82" s="160">
        <f t="shared" si="48"/>
        <v>1.0000000395305013</v>
      </c>
      <c r="AB82" s="160">
        <f t="shared" si="49"/>
        <v>3.9501846886940892E-4</v>
      </c>
      <c r="AC82" s="171" t="str">
        <f t="shared" si="50"/>
        <v>73.2249964440787-51.0343280187134i</v>
      </c>
      <c r="AD82" s="190">
        <f t="shared" si="51"/>
        <v>39.012622583349497</v>
      </c>
      <c r="AE82" s="169">
        <f t="shared" si="52"/>
        <v>-34.874656578205062</v>
      </c>
      <c r="AF82" s="98" t="str">
        <f t="shared" si="37"/>
        <v>-0.0000366300366300366</v>
      </c>
      <c r="AG82" s="98" t="str">
        <f t="shared" si="38"/>
        <v>0.0000189246980580305i</v>
      </c>
      <c r="AH82" s="98">
        <f t="shared" si="53"/>
        <v>1.8924698058030501E-5</v>
      </c>
      <c r="AI82" s="98">
        <f t="shared" si="54"/>
        <v>1.5707963267948966</v>
      </c>
      <c r="AJ82" s="98" t="str">
        <f t="shared" si="39"/>
        <v>1+0.00270296044517134i</v>
      </c>
      <c r="AK82" s="98">
        <f t="shared" si="55"/>
        <v>1.000003652990912</v>
      </c>
      <c r="AL82" s="98">
        <f t="shared" si="56"/>
        <v>2.7029538625948776E-3</v>
      </c>
      <c r="AM82" s="98" t="str">
        <f t="shared" si="40"/>
        <v>1+0.186504270716822i</v>
      </c>
      <c r="AN82" s="98">
        <f t="shared" si="57"/>
        <v>1.0172432565495892</v>
      </c>
      <c r="AO82" s="98">
        <f t="shared" si="58"/>
        <v>0.1843858647099692</v>
      </c>
      <c r="AP82" s="168" t="str">
        <f t="shared" si="59"/>
        <v>-0.355757302912565+1.93652942138931i</v>
      </c>
      <c r="AQ82" s="98">
        <f t="shared" si="60"/>
        <v>5.8846325385574687</v>
      </c>
      <c r="AR82" s="169">
        <f t="shared" si="61"/>
        <v>100.40966400120617</v>
      </c>
      <c r="AS82" s="168" t="str">
        <f t="shared" si="62"/>
        <v>72.7791504683437+159.958194886979i</v>
      </c>
      <c r="AT82" s="190">
        <f t="shared" si="63"/>
        <v>44.897255121906987</v>
      </c>
      <c r="AU82" s="169">
        <f t="shared" si="64"/>
        <v>65.535007423001147</v>
      </c>
      <c r="AV82" s="225"/>
      <c r="AX82">
        <f t="shared" si="65"/>
        <v>0</v>
      </c>
      <c r="AY82">
        <f t="shared" si="66"/>
        <v>0</v>
      </c>
    </row>
    <row r="83" spans="14:51" x14ac:dyDescent="0.3">
      <c r="N83" s="170">
        <v>65</v>
      </c>
      <c r="O83" s="199">
        <f t="shared" si="41"/>
        <v>44.668359215096324</v>
      </c>
      <c r="P83" s="189" t="str">
        <f t="shared" ref="P83:P146" si="67">COMPLEX(Adc,0)</f>
        <v>108.75</v>
      </c>
      <c r="Q83" s="160" t="str">
        <f t="shared" ref="Q83:Q146" si="68">IMSUM(COMPLEX(1,0),IMDIV(COMPLEX(0,2*PI()*O83),COMPLEX(wp_lf,0)))</f>
        <v>1+0.712314009766294i</v>
      </c>
      <c r="R83" s="160">
        <f t="shared" si="42"/>
        <v>1.2277586279514943</v>
      </c>
      <c r="S83" s="160">
        <f t="shared" si="43"/>
        <v>0.61894267991938445</v>
      </c>
      <c r="T83" s="160" t="str">
        <f t="shared" ref="T83:T146" si="69">IMSUM(COMPLEX(1,0),IMDIV(COMPLEX(0,2*PI()*O83),COMPLEX(wz_esr,0)))</f>
        <v>1+0.0000263820003617147i</v>
      </c>
      <c r="U83" s="160">
        <f t="shared" si="44"/>
        <v>1.000000000348005</v>
      </c>
      <c r="V83" s="160">
        <f t="shared" si="45"/>
        <v>2.6382000355593988E-5</v>
      </c>
      <c r="W83" s="98" t="str">
        <f t="shared" ref="W83:W146" si="70">IMSUB(COMPLEX(1,0),IMDIV(COMPLEX(0,2*PI()*O83),COMPLEX(wz_rhp,0)))</f>
        <v>1-0.000209559151809365i</v>
      </c>
      <c r="X83" s="160">
        <f t="shared" si="46"/>
        <v>1.0000000219575187</v>
      </c>
      <c r="Y83" s="160">
        <f t="shared" si="47"/>
        <v>-2.0955914874176571E-4</v>
      </c>
      <c r="Z83" s="98" t="str">
        <f t="shared" ref="Z83:Z146" si="71">IF(Dc_Mode_Loop="CCM",IMSUM(COMPLEX(1,0),IMDIV(COMPLEX(0,2*PI()*O83),COMPLEX(Q*(wsl/2),0)),IMDIV(IMPOWER(COMPLEX(0,2*PI()*O83),2),IMPOWER(COMPLEX(wsl/2,0),2))),COMPLEX(1,0))</f>
        <v>0.999999959696759+0.000404219636482166i</v>
      </c>
      <c r="AA83" s="160">
        <f t="shared" si="48"/>
        <v>1.0000000413935162</v>
      </c>
      <c r="AB83" s="160">
        <f t="shared" si="49"/>
        <v>4.0421963075790526E-4</v>
      </c>
      <c r="AC83" s="171" t="str">
        <f t="shared" si="50"/>
        <v>72.1143081350139-51.431911384013i</v>
      </c>
      <c r="AD83" s="190">
        <f t="shared" si="51"/>
        <v>38.946325251225531</v>
      </c>
      <c r="AE83" s="169">
        <f t="shared" si="52"/>
        <v>-35.496458676241879</v>
      </c>
      <c r="AF83" s="98" t="str">
        <f t="shared" ref="AF83:AF146" si="72">COMPLEX(Adc_ea,0)</f>
        <v>-0.0000366300366300366</v>
      </c>
      <c r="AG83" s="98" t="str">
        <f t="shared" ref="AG83:AG146" si="73">COMPLEX(0,2*PI()*O83*wp0_ea)</f>
        <v>0.0000193655109038118i</v>
      </c>
      <c r="AH83" s="98">
        <f t="shared" si="53"/>
        <v>1.9365510903811799E-5</v>
      </c>
      <c r="AI83" s="98">
        <f t="shared" si="54"/>
        <v>1.5707963267948966</v>
      </c>
      <c r="AJ83" s="98" t="str">
        <f t="shared" ref="AJ83:AJ146" si="74">IMSUM(COMPLEX(1,0),IMDIV(COMPLEX(0,2*PI()*O83),COMPLEX(wp1_ea,0)))</f>
        <v>1+0.0027659204819559i</v>
      </c>
      <c r="AK83" s="98">
        <f t="shared" si="55"/>
        <v>1.0000038251507404</v>
      </c>
      <c r="AL83" s="98">
        <f t="shared" si="56"/>
        <v>2.7659134285995999E-3</v>
      </c>
      <c r="AM83" s="98" t="str">
        <f t="shared" ref="AM83:AM146" si="75">IMSUM(COMPLEX(1,0),IMDIV(COMPLEX(0,2*PI()*O83),COMPLEX(wz_ea,0)))</f>
        <v>1+0.190848513254957i</v>
      </c>
      <c r="AN83" s="98">
        <f t="shared" si="57"/>
        <v>1.0180486997249334</v>
      </c>
      <c r="AO83" s="98">
        <f t="shared" si="58"/>
        <v>0.18858076811086891</v>
      </c>
      <c r="AP83" s="168" t="str">
        <f t="shared" si="59"/>
        <v>-0.355757180418812+1.89249291685266i</v>
      </c>
      <c r="AQ83" s="98">
        <f t="shared" si="60"/>
        <v>5.6915057236371238</v>
      </c>
      <c r="AR83" s="169">
        <f t="shared" si="61"/>
        <v>100.6464069441307</v>
      </c>
      <c r="AS83" s="168" t="str">
        <f t="shared" si="62"/>
        <v>71.6793450644723+154.773089126771i</v>
      </c>
      <c r="AT83" s="190">
        <f t="shared" si="63"/>
        <v>44.637830974862673</v>
      </c>
      <c r="AU83" s="169">
        <f t="shared" si="64"/>
        <v>65.149948267888902</v>
      </c>
      <c r="AV83" s="225"/>
      <c r="AX83">
        <f t="shared" si="65"/>
        <v>0</v>
      </c>
      <c r="AY83">
        <f t="shared" si="66"/>
        <v>0</v>
      </c>
    </row>
    <row r="84" spans="14:51" x14ac:dyDescent="0.3">
      <c r="N84" s="170">
        <v>66</v>
      </c>
      <c r="O84" s="199">
        <f t="shared" ref="O84:O118" si="76">10^(1+(N84/100))</f>
        <v>45.70881896148753</v>
      </c>
      <c r="P84" s="189" t="str">
        <f t="shared" si="67"/>
        <v>108.75</v>
      </c>
      <c r="Q84" s="160" t="str">
        <f t="shared" si="68"/>
        <v>1+0.728905934497254i</v>
      </c>
      <c r="R84" s="160">
        <f t="shared" ref="R84:R147" si="77">IMABS(Q84)</f>
        <v>1.2374586301550914</v>
      </c>
      <c r="S84" s="160">
        <f t="shared" ref="S84:S147" si="78">IMARGUMENT(Q84)</f>
        <v>0.62986366259612714</v>
      </c>
      <c r="T84" s="160" t="str">
        <f t="shared" si="69"/>
        <v>1+0.000026996516092491i</v>
      </c>
      <c r="U84" s="160">
        <f t="shared" ref="U84:U147" si="79">IMABS(T84)</f>
        <v>1.0000000003644058</v>
      </c>
      <c r="V84" s="160">
        <f t="shared" ref="V84:V147" si="80">IMARGUMENT(T84)</f>
        <v>2.6996516085932538E-5</v>
      </c>
      <c r="W84" s="98" t="str">
        <f t="shared" si="70"/>
        <v>1-0.000214440411514822i</v>
      </c>
      <c r="X84" s="160">
        <f t="shared" ref="X84:X147" si="81">IMABS(W84)</f>
        <v>1.0000000229923447</v>
      </c>
      <c r="Y84" s="160">
        <f t="shared" ref="Y84:Y147" si="82">IMARGUMENT(W84)</f>
        <v>-2.1444040822783013E-4</v>
      </c>
      <c r="Z84" s="98" t="str">
        <f t="shared" si="71"/>
        <v>0.999999957797326+0.000413635121354474i</v>
      </c>
      <c r="AA84" s="160">
        <f t="shared" ref="AA84:AA147" si="83">IMABS(Z84)</f>
        <v>1.0000000433443328</v>
      </c>
      <c r="AB84" s="160">
        <f t="shared" ref="AB84:AB147" si="84">IMARGUMENT(Z84)</f>
        <v>4.13635115220818E-4</v>
      </c>
      <c r="AC84" s="171" t="str">
        <f t="shared" ref="AC84:AC147" si="85">(IMDIV(IMPRODUCT(P84,T84,W84),IMPRODUCT(Q84,Z84)))</f>
        <v>70.9867807984637-51.8080531316639i</v>
      </c>
      <c r="AD84" s="190">
        <f t="shared" ref="AD84:AD147" si="86">20*LOG(IMABS(AC84))</f>
        <v>38.87797136249921</v>
      </c>
      <c r="AE84" s="169">
        <f t="shared" ref="AE84:AE147" si="87">(180/PI())*IMARGUMENT(AC84)</f>
        <v>-36.122968825685966</v>
      </c>
      <c r="AF84" s="98" t="str">
        <f t="shared" si="72"/>
        <v>-0.0000366300366300366</v>
      </c>
      <c r="AG84" s="98" t="str">
        <f t="shared" si="73"/>
        <v>0.0000198165915998072i</v>
      </c>
      <c r="AH84" s="98">
        <f t="shared" ref="AH84:AH147" si="88">IMABS(AG84)</f>
        <v>1.9816591599807199E-5</v>
      </c>
      <c r="AI84" s="98">
        <f t="shared" ref="AI84:AI147" si="89">IMARGUMENT(AG84)</f>
        <v>1.5707963267948966</v>
      </c>
      <c r="AJ84" s="98" t="str">
        <f t="shared" si="74"/>
        <v>1+0.00283034704639128i</v>
      </c>
      <c r="AK84" s="98">
        <f t="shared" ref="AK84:AK147" si="90">IMABS(AJ84)</f>
        <v>1.0000040054241797</v>
      </c>
      <c r="AL84" s="98">
        <f t="shared" ref="AL84:AL147" si="91">IMARGUMENT(AJ84)</f>
        <v>2.8303394885854727E-3</v>
      </c>
      <c r="AM84" s="98" t="str">
        <f t="shared" si="75"/>
        <v>1+0.195293946200998i</v>
      </c>
      <c r="AN84" s="98">
        <f t="shared" ref="AN84:AN147" si="92">IMABS(AM84)</f>
        <v>1.0188914198396011</v>
      </c>
      <c r="AO84" s="98">
        <f t="shared" ref="AO84:AO147" si="93">IMARGUMENT(AM84)</f>
        <v>0.19286644016061905</v>
      </c>
      <c r="AP84" s="168" t="str">
        <f t="shared" ref="AP84:AP147" si="94">IMPRODUCT(AF84,IMDIV(AM84,IMPRODUCT(AG84,AJ84)))</f>
        <v>-0.355757052152195+1.84945983707868i</v>
      </c>
      <c r="AQ84" s="98">
        <f t="shared" ref="AQ84:AQ147" si="95">20*LOG(IMABS(AP84))</f>
        <v>5.4986911872735575</v>
      </c>
      <c r="AR84" s="169">
        <f t="shared" ref="AR84:AR147" si="96">(180/PI())*IMARGUMENT(AP84)</f>
        <v>100.88826652363072</v>
      </c>
      <c r="AS84" s="168" t="str">
        <f t="shared" ref="AS84:AS147" si="97">IMPRODUCT(AC84,AP84)</f>
        <v>70.5628656256152+149.718280310132i</v>
      </c>
      <c r="AT84" s="190">
        <f t="shared" ref="AT84:AT147" si="98">20*LOG(IMABS(AS84))</f>
        <v>44.376662549772789</v>
      </c>
      <c r="AU84" s="169">
        <f t="shared" ref="AU84:AU147" si="99">(180/PI())*IMARGUMENT(AS84)</f>
        <v>64.765297697944803</v>
      </c>
      <c r="AV84" s="225"/>
      <c r="AX84">
        <f t="shared" ref="AX84:AX147" si="100">SUM((AT85&lt;0)*(AT84&gt;0))*O84</f>
        <v>0</v>
      </c>
      <c r="AY84">
        <f t="shared" ref="AY84:AY147" si="101">IF(AX84&gt;0,AU84,0)</f>
        <v>0</v>
      </c>
    </row>
    <row r="85" spans="14:51" x14ac:dyDescent="0.3">
      <c r="N85" s="170">
        <v>67</v>
      </c>
      <c r="O85" s="199">
        <f t="shared" si="76"/>
        <v>46.773514128719818</v>
      </c>
      <c r="P85" s="189" t="str">
        <f t="shared" si="67"/>
        <v>108.75</v>
      </c>
      <c r="Q85" s="160" t="str">
        <f t="shared" si="68"/>
        <v>1+0.745884334802894i</v>
      </c>
      <c r="R85" s="160">
        <f t="shared" si="77"/>
        <v>1.2475349457647893</v>
      </c>
      <c r="S85" s="160">
        <f t="shared" si="78"/>
        <v>0.64086187532631789</v>
      </c>
      <c r="T85" s="160" t="str">
        <f t="shared" si="69"/>
        <v>1+0.0000276253457334406i</v>
      </c>
      <c r="U85" s="160">
        <f t="shared" si="79"/>
        <v>1.0000000003815799</v>
      </c>
      <c r="V85" s="160">
        <f t="shared" si="80"/>
        <v>2.7625345726413082E-5</v>
      </c>
      <c r="W85" s="98" t="str">
        <f t="shared" si="70"/>
        <v>1-0.000219435370364918i</v>
      </c>
      <c r="X85" s="160">
        <f t="shared" si="81"/>
        <v>1.0000000240759406</v>
      </c>
      <c r="Y85" s="160">
        <f t="shared" si="82"/>
        <v>-2.1943536684284275E-4</v>
      </c>
      <c r="Z85" s="98" t="str">
        <f t="shared" si="71"/>
        <v>0.999999955808375+0.000423269921043233i</v>
      </c>
      <c r="AA85" s="160">
        <f t="shared" si="83"/>
        <v>1.0000000453870879</v>
      </c>
      <c r="AB85" s="160">
        <f t="shared" si="84"/>
        <v>4.2326991447090226E-4</v>
      </c>
      <c r="AC85" s="171" t="str">
        <f t="shared" si="85"/>
        <v>69.8432506214507-52.16187646763i</v>
      </c>
      <c r="AD85" s="190">
        <f t="shared" si="86"/>
        <v>38.807530733566537</v>
      </c>
      <c r="AE85" s="169">
        <f t="shared" si="87"/>
        <v>-36.75392219140948</v>
      </c>
      <c r="AF85" s="98" t="str">
        <f t="shared" si="72"/>
        <v>-0.0000366300366300366</v>
      </c>
      <c r="AG85" s="98" t="str">
        <f t="shared" si="73"/>
        <v>0.0000202781793149723i</v>
      </c>
      <c r="AH85" s="98">
        <f t="shared" si="88"/>
        <v>2.0278179314972299E-5</v>
      </c>
      <c r="AI85" s="98">
        <f t="shared" si="89"/>
        <v>1.5707963267948966</v>
      </c>
      <c r="AJ85" s="98" t="str">
        <f t="shared" si="74"/>
        <v>1+0.00289627429829472i</v>
      </c>
      <c r="AK85" s="98">
        <f t="shared" si="90"/>
        <v>1.00000419419361</v>
      </c>
      <c r="AL85" s="98">
        <f t="shared" si="91"/>
        <v>2.8962661999617266E-3</v>
      </c>
      <c r="AM85" s="98" t="str">
        <f t="shared" si="75"/>
        <v>1+0.199842926582335i</v>
      </c>
      <c r="AN85" s="98">
        <f t="shared" si="92"/>
        <v>1.0197731097185259</v>
      </c>
      <c r="AO85" s="98">
        <f t="shared" si="93"/>
        <v>0.19724452315638022</v>
      </c>
      <c r="AP85" s="168" t="str">
        <f t="shared" si="94"/>
        <v>-0.355756917840659+1.80740736535659i</v>
      </c>
      <c r="AQ85" s="98">
        <f t="shared" si="95"/>
        <v>5.3062025654610432</v>
      </c>
      <c r="AR85" s="169">
        <f t="shared" si="96"/>
        <v>101.13533487932683</v>
      </c>
      <c r="AS85" s="168" t="str">
        <f t="shared" si="97"/>
        <v>69.4305401453551+144.792153994565i</v>
      </c>
      <c r="AT85" s="190">
        <f t="shared" si="98"/>
        <v>44.113733299027558</v>
      </c>
      <c r="AU85" s="169">
        <f t="shared" si="99"/>
        <v>64.38141268791729</v>
      </c>
      <c r="AV85" s="225"/>
      <c r="AX85">
        <f t="shared" si="100"/>
        <v>0</v>
      </c>
      <c r="AY85">
        <f t="shared" si="101"/>
        <v>0</v>
      </c>
    </row>
    <row r="86" spans="14:51" x14ac:dyDescent="0.3">
      <c r="N86" s="170">
        <v>68</v>
      </c>
      <c r="O86" s="199">
        <f t="shared" si="76"/>
        <v>47.863009232263877</v>
      </c>
      <c r="P86" s="189" t="str">
        <f t="shared" si="67"/>
        <v>108.75</v>
      </c>
      <c r="Q86" s="160" t="str">
        <f t="shared" si="68"/>
        <v>1+0.763258212855793i</v>
      </c>
      <c r="R86" s="160">
        <f t="shared" si="77"/>
        <v>1.2579996420873174</v>
      </c>
      <c r="S86" s="160">
        <f t="shared" si="78"/>
        <v>0.65193250702131877</v>
      </c>
      <c r="T86" s="160" t="str">
        <f t="shared" si="69"/>
        <v>1+0.0000282688226983628i</v>
      </c>
      <c r="U86" s="160">
        <f t="shared" si="79"/>
        <v>1.000000000399563</v>
      </c>
      <c r="V86" s="160">
        <f t="shared" si="80"/>
        <v>2.8268822690832682E-5</v>
      </c>
      <c r="W86" s="98" t="str">
        <f t="shared" si="70"/>
        <v>1-0.000224546676752953i</v>
      </c>
      <c r="X86" s="160">
        <f t="shared" si="81"/>
        <v>1.0000000252106047</v>
      </c>
      <c r="Y86" s="160">
        <f t="shared" si="82"/>
        <v>-2.2454667297898138E-4</v>
      </c>
      <c r="Z86" s="98" t="str">
        <f t="shared" si="71"/>
        <v>0.999999953725688+0.000433129144046768i</v>
      </c>
      <c r="AA86" s="160">
        <f t="shared" si="83"/>
        <v>1.0000000475261157</v>
      </c>
      <c r="AB86" s="160">
        <f t="shared" si="84"/>
        <v>4.3312913700438872E-4</v>
      </c>
      <c r="AC86" s="171" t="str">
        <f t="shared" si="85"/>
        <v>68.6846120762118-52.4925422678315i</v>
      </c>
      <c r="AD86" s="190">
        <f t="shared" si="86"/>
        <v>38.734974771205607</v>
      </c>
      <c r="AE86" s="169">
        <f t="shared" si="87"/>
        <v>-37.389043543672393</v>
      </c>
      <c r="AF86" s="98" t="str">
        <f t="shared" si="72"/>
        <v>-0.0000366300366300366</v>
      </c>
      <c r="AG86" s="98" t="str">
        <f t="shared" si="73"/>
        <v>0.0000207505187892237i</v>
      </c>
      <c r="AH86" s="98">
        <f t="shared" si="88"/>
        <v>2.0750518789223701E-5</v>
      </c>
      <c r="AI86" s="98">
        <f t="shared" si="89"/>
        <v>1.5707963267948966</v>
      </c>
      <c r="AJ86" s="98" t="str">
        <f t="shared" si="74"/>
        <v>1+0.00296373719316785i</v>
      </c>
      <c r="AK86" s="98">
        <f t="shared" si="90"/>
        <v>1.0000043918594308</v>
      </c>
      <c r="AL86" s="98">
        <f t="shared" si="91"/>
        <v>2.9637285156497656E-3</v>
      </c>
      <c r="AM86" s="98" t="str">
        <f t="shared" si="75"/>
        <v>1+0.204497866328581i</v>
      </c>
      <c r="AN86" s="98">
        <f t="shared" si="92"/>
        <v>1.0206955360600645</v>
      </c>
      <c r="AO86" s="98">
        <f t="shared" si="93"/>
        <v>0.20171666675529262</v>
      </c>
      <c r="AP86" s="168" t="str">
        <f t="shared" si="94"/>
        <v>-0.355756777199325+1.7663132049068i</v>
      </c>
      <c r="AQ86" s="98">
        <f t="shared" si="95"/>
        <v>5.114054038531056</v>
      </c>
      <c r="AR86" s="169">
        <f t="shared" si="96"/>
        <v>101.38770452695587</v>
      </c>
      <c r="AS86" s="168" t="str">
        <f t="shared" si="97"/>
        <v>68.2832543313802+139.993114948317i</v>
      </c>
      <c r="AT86" s="190">
        <f t="shared" si="98"/>
        <v>43.849028809736659</v>
      </c>
      <c r="AU86" s="169">
        <f t="shared" si="99"/>
        <v>63.998660983283465</v>
      </c>
      <c r="AV86" s="225"/>
      <c r="AX86">
        <f t="shared" si="100"/>
        <v>0</v>
      </c>
      <c r="AY86">
        <f t="shared" si="101"/>
        <v>0</v>
      </c>
    </row>
    <row r="87" spans="14:51" x14ac:dyDescent="0.3">
      <c r="N87" s="170">
        <v>69</v>
      </c>
      <c r="O87" s="199">
        <f t="shared" si="76"/>
        <v>48.977881936844632</v>
      </c>
      <c r="P87" s="189" t="str">
        <f t="shared" si="67"/>
        <v>108.75</v>
      </c>
      <c r="Q87" s="160" t="str">
        <f t="shared" si="68"/>
        <v>1+0.781036780516067i</v>
      </c>
      <c r="R87" s="160">
        <f t="shared" si="77"/>
        <v>1.2688650253352021</v>
      </c>
      <c r="S87" s="160">
        <f t="shared" si="78"/>
        <v>0.66307057345942133</v>
      </c>
      <c r="T87" s="160" t="str">
        <f t="shared" si="69"/>
        <v>1+0.0000289272881672618i</v>
      </c>
      <c r="U87" s="160">
        <f t="shared" si="79"/>
        <v>1.000000000418394</v>
      </c>
      <c r="V87" s="160">
        <f t="shared" si="80"/>
        <v>2.8927288159193131E-5</v>
      </c>
      <c r="W87" s="98" t="str">
        <f t="shared" si="70"/>
        <v>1-0.000229777040761229i</v>
      </c>
      <c r="X87" s="160">
        <f t="shared" si="81"/>
        <v>1.0000000263987439</v>
      </c>
      <c r="Y87" s="160">
        <f t="shared" si="82"/>
        <v>-2.2977703671734557E-4</v>
      </c>
      <c r="Z87" s="98" t="str">
        <f t="shared" si="71"/>
        <v>0.999999951544847+0.00044321801785562i</v>
      </c>
      <c r="AA87" s="160">
        <f t="shared" si="83"/>
        <v>1.0000000497659527</v>
      </c>
      <c r="AB87" s="160">
        <f t="shared" si="84"/>
        <v>4.4321801030957453E-4</v>
      </c>
      <c r="AC87" s="171" t="str">
        <f t="shared" si="85"/>
        <v>67.5118158534608-52.7992536633076i</v>
      </c>
      <c r="AD87" s="190">
        <f t="shared" si="86"/>
        <v>38.660276577845522</v>
      </c>
      <c r="AE87" s="169">
        <f t="shared" si="87"/>
        <v>-38.028047742847669</v>
      </c>
      <c r="AF87" s="98" t="str">
        <f t="shared" si="72"/>
        <v>-0.0000366300366300366</v>
      </c>
      <c r="AG87" s="98" t="str">
        <f t="shared" si="73"/>
        <v>0.0000212338604632027i</v>
      </c>
      <c r="AH87" s="98">
        <f t="shared" si="88"/>
        <v>2.1233860463202699E-5</v>
      </c>
      <c r="AI87" s="98">
        <f t="shared" si="89"/>
        <v>1.5707963267948966</v>
      </c>
      <c r="AJ87" s="98" t="str">
        <f t="shared" si="74"/>
        <v>1+0.0030327715007305i</v>
      </c>
      <c r="AK87" s="98">
        <f t="shared" si="90"/>
        <v>1.0000045988409132</v>
      </c>
      <c r="AL87" s="98">
        <f t="shared" si="91"/>
        <v>3.0327622026046605E-3</v>
      </c>
      <c r="AM87" s="98" t="str">
        <f t="shared" si="75"/>
        <v>1+0.209261233550404i</v>
      </c>
      <c r="AN87" s="98">
        <f t="shared" si="92"/>
        <v>1.0216605423853056</v>
      </c>
      <c r="AO87" s="98">
        <f t="shared" si="93"/>
        <v>0.20628452626219712</v>
      </c>
      <c r="AP87" s="168" t="str">
        <f t="shared" si="94"/>
        <v>-0.355756629929889+1.72615556705888i</v>
      </c>
      <c r="AQ87" s="98">
        <f t="shared" si="95"/>
        <v>4.9222603481643192</v>
      </c>
      <c r="AR87" s="169">
        <f t="shared" si="96"/>
        <v>101.64546825920344</v>
      </c>
      <c r="AS87" s="168" t="str">
        <f t="shared" si="97"/>
        <v>67.1219495589979+135.319581323777i</v>
      </c>
      <c r="AT87" s="190">
        <f t="shared" si="98"/>
        <v>43.582536926009837</v>
      </c>
      <c r="AU87" s="169">
        <f t="shared" si="99"/>
        <v>63.617420516355793</v>
      </c>
      <c r="AV87" s="225"/>
      <c r="AX87">
        <f t="shared" si="100"/>
        <v>0</v>
      </c>
      <c r="AY87">
        <f t="shared" si="101"/>
        <v>0</v>
      </c>
    </row>
    <row r="88" spans="14:51" x14ac:dyDescent="0.3">
      <c r="N88" s="170">
        <v>70</v>
      </c>
      <c r="O88" s="199">
        <f t="shared" si="76"/>
        <v>50.118723362727238</v>
      </c>
      <c r="P88" s="189" t="str">
        <f t="shared" si="67"/>
        <v>108.75</v>
      </c>
      <c r="Q88" s="160" t="str">
        <f t="shared" si="68"/>
        <v>1+0.799229464215611i</v>
      </c>
      <c r="R88" s="160">
        <f t="shared" si="77"/>
        <v>1.2801436389993011</v>
      </c>
      <c r="S88" s="160">
        <f t="shared" si="78"/>
        <v>0.67427092669997202</v>
      </c>
      <c r="T88" s="160" t="str">
        <f t="shared" si="69"/>
        <v>1+0.000029601091267245i</v>
      </c>
      <c r="U88" s="160">
        <f t="shared" si="79"/>
        <v>1.0000000004381122</v>
      </c>
      <c r="V88" s="160">
        <f t="shared" si="80"/>
        <v>2.9601091258599263E-5</v>
      </c>
      <c r="W88" s="98" t="str">
        <f t="shared" si="70"/>
        <v>1-0.000235129235597974i</v>
      </c>
      <c r="X88" s="160">
        <f t="shared" si="81"/>
        <v>1.0000000276428784</v>
      </c>
      <c r="Y88" s="160">
        <f t="shared" si="82"/>
        <v>-2.3512923126487486E-4</v>
      </c>
      <c r="Z88" s="98" t="str">
        <f t="shared" si="71"/>
        <v>0.999999949261226+0.000453541891724221i</v>
      </c>
      <c r="AA88" s="160">
        <f t="shared" si="83"/>
        <v>1.0000000521113497</v>
      </c>
      <c r="AB88" s="160">
        <f t="shared" si="84"/>
        <v>4.535418836384877E-4</v>
      </c>
      <c r="AC88" s="171" t="str">
        <f t="shared" si="85"/>
        <v>66.3258663747568-53.0812605044932i</v>
      </c>
      <c r="AD88" s="190">
        <f t="shared" si="86"/>
        <v>38.583411052649936</v>
      </c>
      <c r="AE88" s="169">
        <f t="shared" si="87"/>
        <v>-38.670640279041699</v>
      </c>
      <c r="AF88" s="98" t="str">
        <f t="shared" si="72"/>
        <v>-0.0000366300366300366</v>
      </c>
      <c r="AG88" s="98" t="str">
        <f t="shared" si="73"/>
        <v>0.0000217284606110627i</v>
      </c>
      <c r="AH88" s="98">
        <f t="shared" si="88"/>
        <v>2.1728460611062702E-5</v>
      </c>
      <c r="AI88" s="98">
        <f t="shared" si="89"/>
        <v>1.5707963267948966</v>
      </c>
      <c r="AJ88" s="98" t="str">
        <f t="shared" si="74"/>
        <v>1+0.0031034138238863i</v>
      </c>
      <c r="AK88" s="98">
        <f t="shared" si="90"/>
        <v>1.0000048155770862</v>
      </c>
      <c r="AL88" s="98">
        <f t="shared" si="91"/>
        <v>3.1034038607675517E-3</v>
      </c>
      <c r="AM88" s="98" t="str">
        <f t="shared" si="75"/>
        <v>1+0.214135553848154i</v>
      </c>
      <c r="AN88" s="98">
        <f t="shared" si="92"/>
        <v>1.022670052080267</v>
      </c>
      <c r="AO88" s="98">
        <f t="shared" si="93"/>
        <v>0.21094976077868099</v>
      </c>
      <c r="AP88" s="168" t="str">
        <f t="shared" si="94"/>
        <v>-0.355756475719986+1.68691315969887i</v>
      </c>
      <c r="AQ88" s="98">
        <f t="shared" si="95"/>
        <v>4.730836814486187</v>
      </c>
      <c r="AR88" s="169">
        <f t="shared" si="96"/>
        <v>101.90871903856616</v>
      </c>
      <c r="AS88" s="168" t="str">
        <f t="shared" si="97"/>
        <v>65.9476204078753+130.769978979859i</v>
      </c>
      <c r="AT88" s="190">
        <f t="shared" si="98"/>
        <v>43.314247867136125</v>
      </c>
      <c r="AU88" s="169">
        <f t="shared" si="99"/>
        <v>63.238078759524456</v>
      </c>
      <c r="AV88" s="225"/>
      <c r="AX88">
        <f t="shared" si="100"/>
        <v>0</v>
      </c>
      <c r="AY88">
        <f t="shared" si="101"/>
        <v>0</v>
      </c>
    </row>
    <row r="89" spans="14:51" x14ac:dyDescent="0.3">
      <c r="N89" s="170">
        <v>71</v>
      </c>
      <c r="O89" s="199">
        <f t="shared" si="76"/>
        <v>51.28613839913649</v>
      </c>
      <c r="P89" s="189" t="str">
        <f t="shared" si="67"/>
        <v>108.75</v>
      </c>
      <c r="Q89" s="160" t="str">
        <f t="shared" si="68"/>
        <v>1+0.817845909956136i</v>
      </c>
      <c r="R89" s="160">
        <f t="shared" si="77"/>
        <v>1.2918482621546465</v>
      </c>
      <c r="S89" s="160">
        <f t="shared" si="78"/>
        <v>0.68552826542529588</v>
      </c>
      <c r="T89" s="160" t="str">
        <f t="shared" si="69"/>
        <v>1+0.0000302905892576348i</v>
      </c>
      <c r="U89" s="160">
        <f t="shared" si="79"/>
        <v>1.0000000004587599</v>
      </c>
      <c r="V89" s="160">
        <f t="shared" si="80"/>
        <v>3.0290589248370729E-5</v>
      </c>
      <c r="W89" s="98" t="str">
        <f t="shared" si="70"/>
        <v>1-0.000240606099067737i</v>
      </c>
      <c r="X89" s="160">
        <f t="shared" si="81"/>
        <v>1.000000028945647</v>
      </c>
      <c r="Y89" s="160">
        <f t="shared" si="82"/>
        <v>-2.4060609442473762E-4</v>
      </c>
      <c r="Z89" s="98" t="str">
        <f t="shared" si="71"/>
        <v>0.999999946869981+0.000464106239507152i</v>
      </c>
      <c r="AA89" s="160">
        <f t="shared" si="83"/>
        <v>1.0000000545672816</v>
      </c>
      <c r="AB89" s="160">
        <f t="shared" si="84"/>
        <v>4.6410623084313279E-4</v>
      </c>
      <c r="AC89" s="171" t="str">
        <f t="shared" si="85"/>
        <v>65.1278188907683-53.3378636605654i</v>
      </c>
      <c r="AD89" s="190">
        <f t="shared" si="86"/>
        <v>38.504354987647169</v>
      </c>
      <c r="AE89" s="169">
        <f t="shared" si="87"/>
        <v>-39.316517864879309</v>
      </c>
      <c r="AF89" s="98" t="str">
        <f t="shared" si="72"/>
        <v>-0.0000366300366300366</v>
      </c>
      <c r="AG89" s="98" t="str">
        <f t="shared" si="73"/>
        <v>0.0000222345814763489i</v>
      </c>
      <c r="AH89" s="98">
        <f t="shared" si="88"/>
        <v>2.22345814763489E-5</v>
      </c>
      <c r="AI89" s="98">
        <f t="shared" si="89"/>
        <v>1.5707963267948966</v>
      </c>
      <c r="AJ89" s="98" t="str">
        <f t="shared" si="74"/>
        <v>1+0.00317570161813007i</v>
      </c>
      <c r="AK89" s="98">
        <f t="shared" si="90"/>
        <v>1.0000050425276701</v>
      </c>
      <c r="AL89" s="98">
        <f t="shared" si="91"/>
        <v>3.1756909424588984E-3</v>
      </c>
      <c r="AM89" s="98" t="str">
        <f t="shared" si="75"/>
        <v>1+0.219123411650974i</v>
      </c>
      <c r="AN89" s="98">
        <f t="shared" si="92"/>
        <v>1.0237260715316194</v>
      </c>
      <c r="AO89" s="98">
        <f t="shared" si="93"/>
        <v>0.21571403120691443</v>
      </c>
      <c r="AP89" s="168" t="str">
        <f t="shared" si="94"/>
        <v>-0.355756314242538+1.64856517597994i</v>
      </c>
      <c r="AQ89" s="98">
        <f t="shared" si="95"/>
        <v>4.5397993531961491</v>
      </c>
      <c r="AR89" s="169">
        <f t="shared" si="96"/>
        <v>102.17754988186871</v>
      </c>
      <c r="AS89" s="168" t="str">
        <f t="shared" si="97"/>
        <v>64.7613117887388+126.342735996303i</v>
      </c>
      <c r="AT89" s="190">
        <f t="shared" si="98"/>
        <v>43.044154340843328</v>
      </c>
      <c r="AU89" s="169">
        <f t="shared" si="99"/>
        <v>62.861032016989434</v>
      </c>
      <c r="AV89" s="225"/>
      <c r="AX89">
        <f t="shared" si="100"/>
        <v>0</v>
      </c>
      <c r="AY89">
        <f t="shared" si="101"/>
        <v>0</v>
      </c>
    </row>
    <row r="90" spans="14:51" x14ac:dyDescent="0.3">
      <c r="N90" s="170">
        <v>72</v>
      </c>
      <c r="O90" s="199">
        <f t="shared" si="76"/>
        <v>52.480746024977286</v>
      </c>
      <c r="P90" s="189" t="str">
        <f t="shared" si="67"/>
        <v>108.75</v>
      </c>
      <c r="Q90" s="160" t="str">
        <f t="shared" si="68"/>
        <v>1+0.836895988423592i</v>
      </c>
      <c r="R90" s="160">
        <f t="shared" si="77"/>
        <v>1.3039919077354356</v>
      </c>
      <c r="S90" s="160">
        <f t="shared" si="78"/>
        <v>0.69683714617084236</v>
      </c>
      <c r="T90" s="160" t="str">
        <f t="shared" si="69"/>
        <v>1+0.0000309961477193924i</v>
      </c>
      <c r="U90" s="160">
        <f t="shared" si="79"/>
        <v>1.0000000004803806</v>
      </c>
      <c r="V90" s="160">
        <f t="shared" si="80"/>
        <v>3.0996147709465772E-5</v>
      </c>
      <c r="W90" s="98" t="str">
        <f t="shared" si="70"/>
        <v>1-0.000246210535076025i</v>
      </c>
      <c r="X90" s="160">
        <f t="shared" si="81"/>
        <v>1.0000000303098133</v>
      </c>
      <c r="Y90" s="160">
        <f t="shared" si="82"/>
        <v>-2.4621053010096152E-4</v>
      </c>
      <c r="Z90" s="98" t="str">
        <f t="shared" si="71"/>
        <v>0.999999944366041+0.000474916662561443i</v>
      </c>
      <c r="AA90" s="160">
        <f t="shared" si="83"/>
        <v>1.0000000571389591</v>
      </c>
      <c r="AB90" s="160">
        <f t="shared" si="84"/>
        <v>4.7491665327777886E-4</v>
      </c>
      <c r="AC90" s="171" t="str">
        <f t="shared" si="85"/>
        <v>63.9187761774267-53.5684191100277i</v>
      </c>
      <c r="AD90" s="190">
        <f t="shared" si="86"/>
        <v>38.423087158157173</v>
      </c>
      <c r="AE90" s="169">
        <f t="shared" si="87"/>
        <v>-39.965369079184903</v>
      </c>
      <c r="AF90" s="98" t="str">
        <f t="shared" si="72"/>
        <v>-0.0000366300366300366</v>
      </c>
      <c r="AG90" s="98" t="str">
        <f t="shared" si="73"/>
        <v>0.0000227524914110433i</v>
      </c>
      <c r="AH90" s="98">
        <f t="shared" si="88"/>
        <v>2.2752491411043298E-5</v>
      </c>
      <c r="AI90" s="98">
        <f t="shared" si="89"/>
        <v>1.5707963267948966</v>
      </c>
      <c r="AJ90" s="98" t="str">
        <f t="shared" si="74"/>
        <v>1+0.00324967321140716i</v>
      </c>
      <c r="AK90" s="98">
        <f t="shared" si="90"/>
        <v>1.0000052801740504</v>
      </c>
      <c r="AL90" s="98">
        <f t="shared" si="91"/>
        <v>3.2496617722226652E-3</v>
      </c>
      <c r="AM90" s="98" t="str">
        <f t="shared" si="75"/>
        <v>1+0.224227451587093i</v>
      </c>
      <c r="AN90" s="98">
        <f t="shared" si="92"/>
        <v>1.0248306933563427</v>
      </c>
      <c r="AO90" s="98">
        <f t="shared" si="93"/>
        <v>0.22057899810171275</v>
      </c>
      <c r="AP90" s="168" t="str">
        <f t="shared" si="94"/>
        <v>-0.35575614515505+1.61109128329031i</v>
      </c>
      <c r="AQ90" s="98">
        <f t="shared" si="95"/>
        <v>4.3491644926754311</v>
      </c>
      <c r="AR90" s="169">
        <f t="shared" si="96"/>
        <v>102.45205373605897</v>
      </c>
      <c r="AS90" s="168" t="str">
        <f t="shared" si="97"/>
        <v>63.5641156718979+122.03627742267i</v>
      </c>
      <c r="AT90" s="190">
        <f t="shared" si="98"/>
        <v>42.772251650832594</v>
      </c>
      <c r="AU90" s="169">
        <f t="shared" si="99"/>
        <v>62.486684656874068</v>
      </c>
      <c r="AV90" s="225"/>
      <c r="AX90">
        <f t="shared" si="100"/>
        <v>0</v>
      </c>
      <c r="AY90">
        <f t="shared" si="101"/>
        <v>0</v>
      </c>
    </row>
    <row r="91" spans="14:51" x14ac:dyDescent="0.3">
      <c r="N91" s="170">
        <v>73</v>
      </c>
      <c r="O91" s="199">
        <f t="shared" si="76"/>
        <v>53.703179637025293</v>
      </c>
      <c r="P91" s="189" t="str">
        <f t="shared" si="67"/>
        <v>108.75</v>
      </c>
      <c r="Q91" s="160" t="str">
        <f t="shared" si="68"/>
        <v>1+0.856389800221736i</v>
      </c>
      <c r="R91" s="160">
        <f t="shared" si="77"/>
        <v>1.3165878208170638</v>
      </c>
      <c r="S91" s="160">
        <f t="shared" si="78"/>
        <v>0.708191995394854</v>
      </c>
      <c r="T91" s="160" t="str">
        <f t="shared" si="69"/>
        <v>1+0.0000317181407489533i</v>
      </c>
      <c r="U91" s="160">
        <f t="shared" si="79"/>
        <v>1.0000000005030201</v>
      </c>
      <c r="V91" s="160">
        <f t="shared" si="80"/>
        <v>3.1718140738316722E-5</v>
      </c>
      <c r="W91" s="98" t="str">
        <f t="shared" si="70"/>
        <v>1-0.000251945515168991i</v>
      </c>
      <c r="X91" s="160">
        <f t="shared" si="81"/>
        <v>1.0000000317382709</v>
      </c>
      <c r="Y91" s="160">
        <f t="shared" si="82"/>
        <v>-2.5194550983811449E-4</v>
      </c>
      <c r="Z91" s="98" t="str">
        <f t="shared" si="71"/>
        <v>0.999999941744093+0.000485978892716487i</v>
      </c>
      <c r="AA91" s="160">
        <f t="shared" si="83"/>
        <v>1.000000059831835</v>
      </c>
      <c r="AB91" s="160">
        <f t="shared" si="84"/>
        <v>4.8597888276886184E-4</v>
      </c>
      <c r="AC91" s="171" t="str">
        <f t="shared" si="85"/>
        <v>62.6998848471667-53.772341779579i</v>
      </c>
      <c r="AD91" s="190">
        <f t="shared" si="86"/>
        <v>38.339588406790305</v>
      </c>
      <c r="AE91" s="169">
        <f t="shared" si="87"/>
        <v>-40.616875058771186</v>
      </c>
      <c r="AF91" s="98" t="str">
        <f t="shared" si="72"/>
        <v>-0.0000366300366300366</v>
      </c>
      <c r="AG91" s="98" t="str">
        <f t="shared" si="73"/>
        <v>0.0000232824650178486i</v>
      </c>
      <c r="AH91" s="98">
        <f t="shared" si="88"/>
        <v>2.3282465017848601E-5</v>
      </c>
      <c r="AI91" s="98">
        <f t="shared" si="89"/>
        <v>1.5707963267948966</v>
      </c>
      <c r="AJ91" s="98" t="str">
        <f t="shared" si="74"/>
        <v>1+0.00332536782443543i</v>
      </c>
      <c r="AK91" s="98">
        <f t="shared" si="90"/>
        <v>1.0000055290202989</v>
      </c>
      <c r="AL91" s="98">
        <f t="shared" si="91"/>
        <v>3.3253555671320682E-3</v>
      </c>
      <c r="AM91" s="98" t="str">
        <f t="shared" si="75"/>
        <v>1+0.229450379886044i</v>
      </c>
      <c r="AN91" s="98">
        <f t="shared" si="92"/>
        <v>1.0259860997254544</v>
      </c>
      <c r="AO91" s="98">
        <f t="shared" si="93"/>
        <v>0.22554631936430036</v>
      </c>
      <c r="AP91" s="168" t="str">
        <f t="shared" si="94"/>
        <v>-0.355755968098888+1.5744716124726i</v>
      </c>
      <c r="AQ91" s="98">
        <f t="shared" si="95"/>
        <v>4.1589493910113902</v>
      </c>
      <c r="AR91" s="169">
        <f t="shared" si="96"/>
        <v>102.7323233449072</v>
      </c>
      <c r="AS91" s="168" t="str">
        <f t="shared" si="97"/>
        <v>62.3571674346289+117.849020303903i</v>
      </c>
      <c r="AT91" s="190">
        <f t="shared" si="98"/>
        <v>42.498537797801681</v>
      </c>
      <c r="AU91" s="169">
        <f t="shared" si="99"/>
        <v>62.115448286135951</v>
      </c>
      <c r="AV91" s="225"/>
      <c r="AX91">
        <f t="shared" si="100"/>
        <v>0</v>
      </c>
      <c r="AY91">
        <f t="shared" si="101"/>
        <v>0</v>
      </c>
    </row>
    <row r="92" spans="14:51" x14ac:dyDescent="0.3">
      <c r="N92" s="170">
        <v>74</v>
      </c>
      <c r="O92" s="199">
        <f t="shared" si="76"/>
        <v>54.95408738576247</v>
      </c>
      <c r="P92" s="189" t="str">
        <f t="shared" si="67"/>
        <v>108.75</v>
      </c>
      <c r="Q92" s="160" t="str">
        <f t="shared" si="68"/>
        <v>1+0.876337681227618i</v>
      </c>
      <c r="R92" s="160">
        <f t="shared" si="77"/>
        <v>1.3296494769447316</v>
      </c>
      <c r="S92" s="160">
        <f t="shared" si="78"/>
        <v>0.71958712232989297</v>
      </c>
      <c r="T92" s="160" t="str">
        <f t="shared" si="69"/>
        <v>1+0.0000324569511565786i</v>
      </c>
      <c r="U92" s="160">
        <f t="shared" si="79"/>
        <v>1.0000000005267269</v>
      </c>
      <c r="V92" s="160">
        <f t="shared" si="80"/>
        <v>3.2456951145181302E-5</v>
      </c>
      <c r="W92" s="98" t="str">
        <f t="shared" si="70"/>
        <v>1-0.000257814080108993i</v>
      </c>
      <c r="X92" s="160">
        <f t="shared" si="81"/>
        <v>1.0000000332340495</v>
      </c>
      <c r="Y92" s="160">
        <f t="shared" si="82"/>
        <v>-2.5781407439685584E-4</v>
      </c>
      <c r="Z92" s="98" t="str">
        <f t="shared" si="71"/>
        <v>0.999999938998577+0.000497298795313142i</v>
      </c>
      <c r="AA92" s="160">
        <f t="shared" si="83"/>
        <v>1.0000000626516228</v>
      </c>
      <c r="AB92" s="160">
        <f t="shared" si="84"/>
        <v>4.9729878465406944E-4</v>
      </c>
      <c r="AC92" s="171" t="str">
        <f t="shared" si="85"/>
        <v>61.4723312976399-53.9491090899037i</v>
      </c>
      <c r="AD92" s="190">
        <f t="shared" si="86"/>
        <v>38.253841720330854</v>
      </c>
      <c r="AE92" s="169">
        <f t="shared" si="87"/>
        <v>-41.270710235030158</v>
      </c>
      <c r="AF92" s="98" t="str">
        <f t="shared" si="72"/>
        <v>-0.0000366300366300366</v>
      </c>
      <c r="AG92" s="98" t="str">
        <f t="shared" si="73"/>
        <v>0.0000238247832957863i</v>
      </c>
      <c r="AH92" s="98">
        <f t="shared" si="88"/>
        <v>2.38247832957863E-5</v>
      </c>
      <c r="AI92" s="98">
        <f t="shared" si="89"/>
        <v>1.5707963267948966</v>
      </c>
      <c r="AJ92" s="98" t="str">
        <f t="shared" si="74"/>
        <v>1+0.00340282559150068i</v>
      </c>
      <c r="AK92" s="98">
        <f t="shared" si="90"/>
        <v>1.0000057895942434</v>
      </c>
      <c r="AL92" s="98">
        <f t="shared" si="91"/>
        <v>3.4028124575676043E-3</v>
      </c>
      <c r="AM92" s="98" t="str">
        <f t="shared" si="75"/>
        <v>1+0.234794965813546i</v>
      </c>
      <c r="AN92" s="98">
        <f t="shared" si="92"/>
        <v>1.0271945657816655</v>
      </c>
      <c r="AO92" s="98">
        <f t="shared" si="93"/>
        <v>0.23061764777128982</v>
      </c>
      <c r="AP92" s="168" t="str">
        <f t="shared" si="94"/>
        <v>-0.355755782698513+1.53868674728889i</v>
      </c>
      <c r="AQ92" s="98">
        <f t="shared" si="95"/>
        <v>3.9691718528709261</v>
      </c>
      <c r="AR92" s="169">
        <f t="shared" si="96"/>
        <v>103.01845110623637</v>
      </c>
      <c r="AS92" s="168" t="str">
        <f t="shared" si="97"/>
        <v>61.1416418495832+113.779369022797i</v>
      </c>
      <c r="AT92" s="190">
        <f t="shared" si="98"/>
        <v>42.223013573201804</v>
      </c>
      <c r="AU92" s="169">
        <f t="shared" si="99"/>
        <v>61.747740871206275</v>
      </c>
      <c r="AV92" s="225"/>
      <c r="AX92">
        <f t="shared" si="100"/>
        <v>0</v>
      </c>
      <c r="AY92">
        <f t="shared" si="101"/>
        <v>0</v>
      </c>
    </row>
    <row r="93" spans="14:51" x14ac:dyDescent="0.3">
      <c r="N93" s="170">
        <v>75</v>
      </c>
      <c r="O93" s="199">
        <f t="shared" si="76"/>
        <v>56.234132519034915</v>
      </c>
      <c r="P93" s="189" t="str">
        <f t="shared" si="67"/>
        <v>108.75</v>
      </c>
      <c r="Q93" s="160" t="str">
        <f t="shared" si="68"/>
        <v>1+0.896750208071787i</v>
      </c>
      <c r="R93" s="160">
        <f t="shared" si="77"/>
        <v>1.3431905805494593</v>
      </c>
      <c r="S93" s="160">
        <f t="shared" si="78"/>
        <v>0.73101673255002064</v>
      </c>
      <c r="T93" s="160" t="str">
        <f t="shared" si="69"/>
        <v>1+0.0000332129706693255i</v>
      </c>
      <c r="U93" s="160">
        <f t="shared" si="79"/>
        <v>1.0000000005515506</v>
      </c>
      <c r="V93" s="160">
        <f t="shared" si="80"/>
        <v>3.3212970657113076E-5</v>
      </c>
      <c r="W93" s="98" t="str">
        <f t="shared" si="70"/>
        <v>1-0.000263819341486841i</v>
      </c>
      <c r="X93" s="160">
        <f t="shared" si="81"/>
        <v>1.000000034800322</v>
      </c>
      <c r="Y93" s="160">
        <f t="shared" si="82"/>
        <v>-2.6381933536617585E-4</v>
      </c>
      <c r="Z93" s="98" t="str">
        <f t="shared" si="71"/>
        <v>0.999999936123668+0.000508882372313599i</v>
      </c>
      <c r="AA93" s="160">
        <f t="shared" si="83"/>
        <v>1.0000000656043024</v>
      </c>
      <c r="AB93" s="160">
        <f t="shared" si="84"/>
        <v>5.088823608921972E-4</v>
      </c>
      <c r="AC93" s="171" t="str">
        <f t="shared" si="85"/>
        <v>60.237337325294-54.0982641692946i</v>
      </c>
      <c r="AD93" s="190">
        <f t="shared" si="86"/>
        <v>38.165832298863876</v>
      </c>
      <c r="AE93" s="169">
        <f t="shared" si="87"/>
        <v>-41.926543111534322</v>
      </c>
      <c r="AF93" s="98" t="str">
        <f t="shared" si="72"/>
        <v>-0.0000366300366300366</v>
      </c>
      <c r="AG93" s="98" t="str">
        <f t="shared" si="73"/>
        <v>0.0000243797337891857i</v>
      </c>
      <c r="AH93" s="98">
        <f t="shared" si="88"/>
        <v>2.4379733789185699E-5</v>
      </c>
      <c r="AI93" s="98">
        <f t="shared" si="89"/>
        <v>1.5707963267948966</v>
      </c>
      <c r="AJ93" s="98" t="str">
        <f t="shared" si="74"/>
        <v>1+0.00348208758173625i</v>
      </c>
      <c r="AK93" s="98">
        <f t="shared" si="90"/>
        <v>1.0000060624485867</v>
      </c>
      <c r="AL93" s="98">
        <f t="shared" si="91"/>
        <v>3.4820735084780136E-3</v>
      </c>
      <c r="AM93" s="98" t="str">
        <f t="shared" si="75"/>
        <v>1+0.240264043139801i</v>
      </c>
      <c r="AN93" s="98">
        <f t="shared" si="92"/>
        <v>1.028458463150498</v>
      </c>
      <c r="AO93" s="98">
        <f t="shared" si="93"/>
        <v>0.23579462833249171</v>
      </c>
      <c r="AP93" s="168" t="str">
        <f t="shared" si="94"/>
        <v>-0.355755588560696+1.50371771412605i</v>
      </c>
      <c r="AQ93" s="98">
        <f t="shared" si="95"/>
        <v>3.7798503461494661</v>
      </c>
      <c r="AR93" s="169">
        <f t="shared" si="96"/>
        <v>103.31052891931756</v>
      </c>
      <c r="AS93" s="168" t="str">
        <f t="shared" si="97"/>
        <v>59.9187487413497+109.82571099749i</v>
      </c>
      <c r="AT93" s="190">
        <f t="shared" si="98"/>
        <v>41.945682645013321</v>
      </c>
      <c r="AU93" s="169">
        <f t="shared" si="99"/>
        <v>61.383985807783198</v>
      </c>
      <c r="AV93" s="225"/>
      <c r="AX93">
        <f t="shared" si="100"/>
        <v>0</v>
      </c>
      <c r="AY93">
        <f t="shared" si="101"/>
        <v>0</v>
      </c>
    </row>
    <row r="94" spans="14:51" x14ac:dyDescent="0.3">
      <c r="N94" s="170">
        <v>76</v>
      </c>
      <c r="O94" s="199">
        <f t="shared" si="76"/>
        <v>57.543993733715695</v>
      </c>
      <c r="P94" s="189" t="str">
        <f t="shared" si="67"/>
        <v>108.75</v>
      </c>
      <c r="Q94" s="160" t="str">
        <f t="shared" si="68"/>
        <v>1+0.917638203746168i</v>
      </c>
      <c r="R94" s="160">
        <f t="shared" si="77"/>
        <v>1.3572250634933374</v>
      </c>
      <c r="S94" s="160">
        <f t="shared" si="78"/>
        <v>0.74247494217950283</v>
      </c>
      <c r="T94" s="160" t="str">
        <f t="shared" si="69"/>
        <v>1+0.0000339866001387471i</v>
      </c>
      <c r="U94" s="160">
        <f t="shared" si="79"/>
        <v>1.0000000005775445</v>
      </c>
      <c r="V94" s="160">
        <f t="shared" si="80"/>
        <v>3.3986600125661252E-5</v>
      </c>
      <c r="W94" s="98" t="str">
        <f t="shared" si="70"/>
        <v>1-0.000269964483371608i</v>
      </c>
      <c r="X94" s="160">
        <f t="shared" si="81"/>
        <v>1.0000000364404105</v>
      </c>
      <c r="Y94" s="160">
        <f t="shared" si="82"/>
        <v>-2.6996447681319714E-4</v>
      </c>
      <c r="Z94" s="98" t="str">
        <f t="shared" si="71"/>
        <v>0.999999933113269+0.000520735765483712i</v>
      </c>
      <c r="AA94" s="160">
        <f t="shared" si="83"/>
        <v>1.0000000686961377</v>
      </c>
      <c r="AB94" s="160">
        <f t="shared" si="84"/>
        <v>5.2073575324545964E-4</v>
      </c>
      <c r="AC94" s="171" t="str">
        <f t="shared" si="85"/>
        <v>58.9961554359486-54.2194186989683i</v>
      </c>
      <c r="AD94" s="190">
        <f t="shared" si="86"/>
        <v>38.07554761655782</v>
      </c>
      <c r="AE94" s="169">
        <f t="shared" si="87"/>
        <v>-42.584037078400542</v>
      </c>
      <c r="AF94" s="98" t="str">
        <f t="shared" si="72"/>
        <v>-0.0000366300366300366</v>
      </c>
      <c r="AG94" s="98" t="str">
        <f t="shared" si="73"/>
        <v>0.000024947610740144i</v>
      </c>
      <c r="AH94" s="98">
        <f t="shared" si="88"/>
        <v>2.4947610740143998E-5</v>
      </c>
      <c r="AI94" s="98">
        <f t="shared" si="89"/>
        <v>1.5707963267948966</v>
      </c>
      <c r="AJ94" s="98" t="str">
        <f t="shared" si="74"/>
        <v>1+0.00356319582089855i</v>
      </c>
      <c r="AK94" s="98">
        <f t="shared" si="90"/>
        <v>1.0000063481620793</v>
      </c>
      <c r="AL94" s="98">
        <f t="shared" si="91"/>
        <v>3.5631807411358324E-3</v>
      </c>
      <c r="AM94" s="98" t="str">
        <f t="shared" si="75"/>
        <v>1+0.245860511641999i</v>
      </c>
      <c r="AN94" s="98">
        <f t="shared" si="92"/>
        <v>1.0297802635440561</v>
      </c>
      <c r="AO94" s="98">
        <f t="shared" si="93"/>
        <v>0.24107889547135683</v>
      </c>
      <c r="AP94" s="168" t="str">
        <f t="shared" si="94"/>
        <v>-0.355755385273672+1.46954597193557i</v>
      </c>
      <c r="AQ94" s="98">
        <f t="shared" si="95"/>
        <v>3.5910040183126348</v>
      </c>
      <c r="AR94" s="169">
        <f t="shared" si="96"/>
        <v>103.60864802207485</v>
      </c>
      <c r="AS94" s="168" t="str">
        <f t="shared" si="97"/>
        <v>58.6897283429756+105.986412769149i</v>
      </c>
      <c r="AT94" s="190">
        <f t="shared" si="98"/>
        <v>41.666551634870444</v>
      </c>
      <c r="AU94" s="169">
        <f t="shared" si="99"/>
        <v>61.024610943674318</v>
      </c>
      <c r="AV94" s="225"/>
      <c r="AX94">
        <f t="shared" si="100"/>
        <v>0</v>
      </c>
      <c r="AY94">
        <f t="shared" si="101"/>
        <v>0</v>
      </c>
    </row>
    <row r="95" spans="14:51" x14ac:dyDescent="0.3">
      <c r="N95" s="170">
        <v>77</v>
      </c>
      <c r="O95" s="199">
        <f t="shared" si="76"/>
        <v>58.884365535558949</v>
      </c>
      <c r="P95" s="189" t="str">
        <f t="shared" si="67"/>
        <v>108.75</v>
      </c>
      <c r="Q95" s="160" t="str">
        <f t="shared" si="68"/>
        <v>1+0.939012743342553i</v>
      </c>
      <c r="R95" s="160">
        <f t="shared" si="77"/>
        <v>1.3717670837863503</v>
      </c>
      <c r="S95" s="160">
        <f t="shared" si="78"/>
        <v>0.75395579266159352</v>
      </c>
      <c r="T95" s="160" t="str">
        <f t="shared" si="69"/>
        <v>1+0.000034778249753428i</v>
      </c>
      <c r="U95" s="160">
        <f t="shared" si="79"/>
        <v>1.0000000006047634</v>
      </c>
      <c r="V95" s="160">
        <f t="shared" si="80"/>
        <v>3.4778249739406257E-5</v>
      </c>
      <c r="W95" s="98" t="str">
        <f t="shared" si="70"/>
        <v>1-0.000276252763998861i</v>
      </c>
      <c r="X95" s="160">
        <f t="shared" si="81"/>
        <v>1.000000038157794</v>
      </c>
      <c r="Y95" s="160">
        <f t="shared" si="82"/>
        <v>-2.7625275697139718E-4</v>
      </c>
      <c r="Z95" s="98" t="str">
        <f t="shared" si="71"/>
        <v>0.999999929960995+0.000532865259649437i</v>
      </c>
      <c r="AA95" s="160">
        <f t="shared" si="83"/>
        <v>1.0000000719336872</v>
      </c>
      <c r="AB95" s="160">
        <f t="shared" si="84"/>
        <v>5.3286524653591309E-4</v>
      </c>
      <c r="AC95" s="171" t="str">
        <f t="shared" si="85"/>
        <v>57.7500638888885-54.3122553575265i</v>
      </c>
      <c r="AD95" s="190">
        <f t="shared" si="86"/>
        <v>37.982977473579396</v>
      </c>
      <c r="AE95" s="169">
        <f t="shared" si="87"/>
        <v>-43.242851258749987</v>
      </c>
      <c r="AF95" s="98" t="str">
        <f t="shared" si="72"/>
        <v>-0.0000366300366300366</v>
      </c>
      <c r="AG95" s="98" t="str">
        <f t="shared" si="73"/>
        <v>0.0000255287152445375i</v>
      </c>
      <c r="AH95" s="98">
        <f t="shared" si="88"/>
        <v>2.55287152445375E-5</v>
      </c>
      <c r="AI95" s="98">
        <f t="shared" si="89"/>
        <v>1.5707963267948966</v>
      </c>
      <c r="AJ95" s="98" t="str">
        <f t="shared" si="74"/>
        <v>1+0.00364619331364955i</v>
      </c>
      <c r="AK95" s="98">
        <f t="shared" si="90"/>
        <v>1.0000066473407467</v>
      </c>
      <c r="AL95" s="98">
        <f t="shared" si="91"/>
        <v>3.6461771553984806E-3</v>
      </c>
      <c r="AM95" s="98" t="str">
        <f t="shared" si="75"/>
        <v>1+0.251587338641818i</v>
      </c>
      <c r="AN95" s="98">
        <f t="shared" si="92"/>
        <v>1.0311625424562672</v>
      </c>
      <c r="AO95" s="98">
        <f t="shared" si="93"/>
        <v>0.24647207002205299</v>
      </c>
      <c r="AP95" s="168" t="str">
        <f t="shared" si="94"/>
        <v>-0.355755172406274+1.43615340240284i</v>
      </c>
      <c r="AQ95" s="98">
        <f t="shared" si="95"/>
        <v>3.4026527123436656</v>
      </c>
      <c r="AR95" s="169">
        <f t="shared" si="96"/>
        <v>103.91289881775521</v>
      </c>
      <c r="AS95" s="168" t="str">
        <f t="shared" si="97"/>
        <v>57.4558463886187+102.259816511499i</v>
      </c>
      <c r="AT95" s="190">
        <f t="shared" si="98"/>
        <v>41.385630185923063</v>
      </c>
      <c r="AU95" s="169">
        <f t="shared" si="99"/>
        <v>60.670047559005205</v>
      </c>
      <c r="AV95" s="225"/>
      <c r="AX95">
        <f t="shared" si="100"/>
        <v>0</v>
      </c>
      <c r="AY95">
        <f t="shared" si="101"/>
        <v>0</v>
      </c>
    </row>
    <row r="96" spans="14:51" x14ac:dyDescent="0.3">
      <c r="N96" s="170">
        <v>78</v>
      </c>
      <c r="O96" s="199">
        <f t="shared" si="76"/>
        <v>60.255958607435822</v>
      </c>
      <c r="P96" s="189" t="str">
        <f t="shared" si="67"/>
        <v>108.75</v>
      </c>
      <c r="Q96" s="160" t="str">
        <f t="shared" si="68"/>
        <v>1+0.96088515992476i</v>
      </c>
      <c r="R96" s="160">
        <f t="shared" si="77"/>
        <v>1.3868310245172739</v>
      </c>
      <c r="S96" s="160">
        <f t="shared" si="78"/>
        <v>0.76545326599952268</v>
      </c>
      <c r="T96" s="160" t="str">
        <f t="shared" si="69"/>
        <v>1+0.0000355883392564727i</v>
      </c>
      <c r="U96" s="160">
        <f t="shared" si="79"/>
        <v>1.000000000633265</v>
      </c>
      <c r="V96" s="160">
        <f t="shared" si="80"/>
        <v>3.5588339241448137E-5</v>
      </c>
      <c r="W96" s="98" t="str">
        <f t="shared" si="70"/>
        <v>1-0.000282687517498223i</v>
      </c>
      <c r="X96" s="160">
        <f t="shared" si="81"/>
        <v>1.0000000399561155</v>
      </c>
      <c r="Y96" s="160">
        <f t="shared" si="82"/>
        <v>-2.8268750996815982E-4</v>
      </c>
      <c r="Z96" s="98" t="str">
        <f t="shared" si="71"/>
        <v>0.999999926660158+0.000545277286029133i</v>
      </c>
      <c r="AA96" s="160">
        <f t="shared" si="83"/>
        <v>1.0000000753238172</v>
      </c>
      <c r="AB96" s="160">
        <f t="shared" si="84"/>
        <v>5.4527727197773931E-4</v>
      </c>
      <c r="AC96" s="171" t="str">
        <f t="shared" si="85"/>
        <v>56.5003615149135-54.3765298361982i</v>
      </c>
      <c r="AD96" s="190">
        <f t="shared" si="86"/>
        <v>37.888114038687284</v>
      </c>
      <c r="AE96" s="169">
        <f t="shared" si="87"/>
        <v>-43.902641382229959</v>
      </c>
      <c r="AF96" s="98" t="str">
        <f t="shared" si="72"/>
        <v>-0.0000366300366300366</v>
      </c>
      <c r="AG96" s="98" t="str">
        <f t="shared" si="73"/>
        <v>0.0000261233554116661i</v>
      </c>
      <c r="AH96" s="98">
        <f t="shared" si="88"/>
        <v>2.6123355411666101E-5</v>
      </c>
      <c r="AI96" s="98">
        <f t="shared" si="89"/>
        <v>1.5707963267948966</v>
      </c>
      <c r="AJ96" s="98" t="str">
        <f t="shared" si="74"/>
        <v>1+0.00373112406635853i</v>
      </c>
      <c r="AK96" s="98">
        <f t="shared" si="90"/>
        <v>1.0000069606191742</v>
      </c>
      <c r="AL96" s="98">
        <f t="shared" si="91"/>
        <v>3.7311067524870788E-3</v>
      </c>
      <c r="AM96" s="98" t="str">
        <f t="shared" si="75"/>
        <v>1+0.257447560578738i</v>
      </c>
      <c r="AN96" s="98">
        <f t="shared" si="92"/>
        <v>1.0326079829480028</v>
      </c>
      <c r="AO96" s="98">
        <f t="shared" si="93"/>
        <v>0.25197575603748612</v>
      </c>
      <c r="AP96" s="168" t="str">
        <f t="shared" si="94"/>
        <v>-0.355754949507019+1.40352230034063i</v>
      </c>
      <c r="AQ96" s="98">
        <f t="shared" si="95"/>
        <v>3.214816982200412</v>
      </c>
      <c r="AR96" s="169">
        <f t="shared" si="96"/>
        <v>104.22337069073581</v>
      </c>
      <c r="AS96" s="168" t="str">
        <f t="shared" si="97"/>
        <v>56.2183889823754+98.6442369897322i</v>
      </c>
      <c r="AT96" s="190">
        <f t="shared" si="98"/>
        <v>41.102931020887688</v>
      </c>
      <c r="AU96" s="169">
        <f t="shared" si="99"/>
        <v>60.320729308505861</v>
      </c>
      <c r="AV96" s="225"/>
      <c r="AX96">
        <f t="shared" si="100"/>
        <v>0</v>
      </c>
      <c r="AY96">
        <f t="shared" si="101"/>
        <v>0</v>
      </c>
    </row>
    <row r="97" spans="14:51" x14ac:dyDescent="0.3">
      <c r="N97" s="170">
        <v>79</v>
      </c>
      <c r="O97" s="199">
        <f t="shared" si="76"/>
        <v>61.659500186148257</v>
      </c>
      <c r="P97" s="189" t="str">
        <f t="shared" si="67"/>
        <v>108.75</v>
      </c>
      <c r="Q97" s="160" t="str">
        <f t="shared" si="68"/>
        <v>1+0.98326705053758i</v>
      </c>
      <c r="R97" s="160">
        <f t="shared" si="77"/>
        <v>1.4024314930408801</v>
      </c>
      <c r="S97" s="160">
        <f t="shared" si="78"/>
        <v>0.77696130037629429</v>
      </c>
      <c r="T97" s="160" t="str">
        <f t="shared" si="69"/>
        <v>1+0.0000364172981680586i</v>
      </c>
      <c r="U97" s="160">
        <f t="shared" si="79"/>
        <v>1.0000000006631098</v>
      </c>
      <c r="V97" s="160">
        <f t="shared" si="80"/>
        <v>3.6417298151959488E-5</v>
      </c>
      <c r="W97" s="98" t="str">
        <f t="shared" si="70"/>
        <v>1-0.000289272155661175i</v>
      </c>
      <c r="X97" s="160">
        <f t="shared" si="81"/>
        <v>1.0000000418391892</v>
      </c>
      <c r="Y97" s="160">
        <f t="shared" si="82"/>
        <v>-2.8927214759256694E-4</v>
      </c>
      <c r="Z97" s="98" t="str">
        <f t="shared" si="71"/>
        <v>0.999999923203758+0.000557978425643481i</v>
      </c>
      <c r="AA97" s="160">
        <f t="shared" si="83"/>
        <v>1.0000000788737196</v>
      </c>
      <c r="AB97" s="160">
        <f t="shared" si="84"/>
        <v>5.579784105871411E-4</v>
      </c>
      <c r="AC97" s="171" t="str">
        <f t="shared" si="85"/>
        <v>55.2483623521665-54.4120724012049i</v>
      </c>
      <c r="AD97" s="190">
        <f t="shared" si="86"/>
        <v>37.79095188212959</v>
      </c>
      <c r="AE97" s="169">
        <f t="shared" si="87"/>
        <v>-44.563060680246274</v>
      </c>
      <c r="AF97" s="98" t="str">
        <f t="shared" si="72"/>
        <v>-0.0000366300366300366</v>
      </c>
      <c r="AG97" s="98" t="str">
        <f t="shared" si="73"/>
        <v>0.0000267318465276174i</v>
      </c>
      <c r="AH97" s="98">
        <f t="shared" si="88"/>
        <v>2.6731846527617398E-5</v>
      </c>
      <c r="AI97" s="98">
        <f t="shared" si="89"/>
        <v>1.5707963267948966</v>
      </c>
      <c r="AJ97" s="98" t="str">
        <f t="shared" si="74"/>
        <v>1+0.00381803311043476i</v>
      </c>
      <c r="AK97" s="98">
        <f t="shared" si="90"/>
        <v>1.0000072886618538</v>
      </c>
      <c r="AL97" s="98">
        <f t="shared" si="91"/>
        <v>3.8180145582945549E-3</v>
      </c>
      <c r="AM97" s="98" t="str">
        <f t="shared" si="75"/>
        <v>1+0.263444284619997i</v>
      </c>
      <c r="AN97" s="98">
        <f t="shared" si="92"/>
        <v>1.0341193795200543</v>
      </c>
      <c r="AO97" s="98">
        <f t="shared" si="93"/>
        <v>0.25759153740293234</v>
      </c>
      <c r="AP97" s="168" t="str">
        <f t="shared" si="94"/>
        <v>-0.355754716103144+1.37163536430148i</v>
      </c>
      <c r="AQ97" s="98">
        <f t="shared" si="95"/>
        <v>3.0275181076771114</v>
      </c>
      <c r="AR97" s="169">
        <f t="shared" si="96"/>
        <v>104.54015181116446</v>
      </c>
      <c r="AS97" s="168" t="str">
        <f t="shared" si="97"/>
        <v>54.9786572866666+95.1379589916484i</v>
      </c>
      <c r="AT97" s="190">
        <f t="shared" si="98"/>
        <v>40.818469989806701</v>
      </c>
      <c r="AU97" s="169">
        <f t="shared" si="99"/>
        <v>59.977091130918168</v>
      </c>
      <c r="AV97" s="225"/>
      <c r="AX97">
        <f t="shared" si="100"/>
        <v>0</v>
      </c>
      <c r="AY97">
        <f t="shared" si="101"/>
        <v>0</v>
      </c>
    </row>
    <row r="98" spans="14:51" x14ac:dyDescent="0.3">
      <c r="N98" s="170">
        <v>80</v>
      </c>
      <c r="O98" s="199">
        <f t="shared" si="76"/>
        <v>63.095734448019364</v>
      </c>
      <c r="P98" s="189" t="str">
        <f t="shared" si="67"/>
        <v>108.75</v>
      </c>
      <c r="Q98" s="160" t="str">
        <f t="shared" si="68"/>
        <v>1+1.00617028235567i</v>
      </c>
      <c r="R98" s="160">
        <f t="shared" si="77"/>
        <v>1.4185833204629501</v>
      </c>
      <c r="S98" s="160">
        <f t="shared" si="78"/>
        <v>0.7884738060554205</v>
      </c>
      <c r="T98" s="160" t="str">
        <f t="shared" si="69"/>
        <v>1+0.0000372655660131731i</v>
      </c>
      <c r="U98" s="160">
        <f t="shared" si="79"/>
        <v>1.0000000006943612</v>
      </c>
      <c r="V98" s="160">
        <f t="shared" si="80"/>
        <v>3.7265565995922592E-5</v>
      </c>
      <c r="W98" s="98" t="str">
        <f t="shared" si="70"/>
        <v>1-0.000296010169750028i</v>
      </c>
      <c r="X98" s="160">
        <f t="shared" si="81"/>
        <v>1.0000000438110093</v>
      </c>
      <c r="Y98" s="160">
        <f t="shared" si="82"/>
        <v>-2.9601016110435873E-4</v>
      </c>
      <c r="Z98" s="98" t="str">
        <f t="shared" si="71"/>
        <v>0.999999919584462+0.000570975412804821i</v>
      </c>
      <c r="AA98" s="160">
        <f t="shared" si="83"/>
        <v>1.0000000825909228</v>
      </c>
      <c r="AB98" s="160">
        <f t="shared" si="84"/>
        <v>5.7097539667166257E-4</v>
      </c>
      <c r="AC98" s="171" t="str">
        <f t="shared" si="85"/>
        <v>53.9953901463099-54.4187889847335i</v>
      </c>
      <c r="AD98" s="190">
        <f t="shared" si="86"/>
        <v>37.691487998552205</v>
      </c>
      <c r="AE98" s="169">
        <f t="shared" si="87"/>
        <v>-45.223760797298787</v>
      </c>
      <c r="AF98" s="98" t="str">
        <f t="shared" si="72"/>
        <v>-0.0000366300366300366</v>
      </c>
      <c r="AG98" s="98" t="str">
        <f t="shared" si="73"/>
        <v>0.0000273545112224355i</v>
      </c>
      <c r="AH98" s="98">
        <f t="shared" si="88"/>
        <v>2.7354511222435501E-5</v>
      </c>
      <c r="AI98" s="98">
        <f t="shared" si="89"/>
        <v>1.5707963267948966</v>
      </c>
      <c r="AJ98" s="98" t="str">
        <f t="shared" si="74"/>
        <v>1+0.00390696652620377i</v>
      </c>
      <c r="AK98" s="98">
        <f t="shared" si="90"/>
        <v>1.0000076321645934</v>
      </c>
      <c r="AL98" s="98">
        <f t="shared" si="91"/>
        <v>3.9069466472355808E-3</v>
      </c>
      <c r="AM98" s="98" t="str">
        <f t="shared" si="75"/>
        <v>1+0.26958069030806i</v>
      </c>
      <c r="AN98" s="98">
        <f t="shared" si="92"/>
        <v>1.0356996420714695</v>
      </c>
      <c r="AO98" s="98">
        <f t="shared" si="93"/>
        <v>0.263320974250424</v>
      </c>
      <c r="AP98" s="168" t="str">
        <f t="shared" si="94"/>
        <v>-0.355754471699613+1.34047568740419i</v>
      </c>
      <c r="AQ98" s="98">
        <f t="shared" si="95"/>
        <v>2.8407781085600243</v>
      </c>
      <c r="AR98" s="169">
        <f t="shared" si="96"/>
        <v>104.86332892815292</v>
      </c>
      <c r="AS98" s="168" t="str">
        <f t="shared" si="97"/>
        <v>53.7379620762992+91.7392352488288i</v>
      </c>
      <c r="AT98" s="190">
        <f t="shared" si="98"/>
        <v>40.532266107112235</v>
      </c>
      <c r="AU98" s="169">
        <f t="shared" si="99"/>
        <v>59.639568130854165</v>
      </c>
      <c r="AV98" s="225"/>
      <c r="AX98">
        <f t="shared" si="100"/>
        <v>0</v>
      </c>
      <c r="AY98">
        <f t="shared" si="101"/>
        <v>0</v>
      </c>
    </row>
    <row r="99" spans="14:51" x14ac:dyDescent="0.3">
      <c r="N99" s="170">
        <v>81</v>
      </c>
      <c r="O99" s="199">
        <f t="shared" si="76"/>
        <v>64.565422903465588</v>
      </c>
      <c r="P99" s="189" t="str">
        <f t="shared" si="67"/>
        <v>108.75</v>
      </c>
      <c r="Q99" s="160" t="str">
        <f t="shared" si="68"/>
        <v>1+1.0296069989757i</v>
      </c>
      <c r="R99" s="160">
        <f t="shared" si="77"/>
        <v>1.4353015614635649</v>
      </c>
      <c r="S99" s="160">
        <f t="shared" si="78"/>
        <v>0.79998468146141288</v>
      </c>
      <c r="T99" s="160" t="str">
        <f t="shared" si="69"/>
        <v>1+0.0000381335925546558i</v>
      </c>
      <c r="U99" s="160">
        <f t="shared" si="79"/>
        <v>1.0000000007270853</v>
      </c>
      <c r="V99" s="160">
        <f t="shared" si="80"/>
        <v>3.8133592536171546E-5</v>
      </c>
      <c r="W99" s="98" t="str">
        <f t="shared" si="70"/>
        <v>1-0.00030290513234904i</v>
      </c>
      <c r="X99" s="160">
        <f t="shared" si="81"/>
        <v>1.0000000458757585</v>
      </c>
      <c r="Y99" s="160">
        <f t="shared" si="82"/>
        <v>-3.0290512308503849E-4</v>
      </c>
      <c r="Z99" s="98" t="str">
        <f t="shared" si="71"/>
        <v>0.999999915794595+0.000584275138687784i</v>
      </c>
      <c r="AA99" s="160">
        <f t="shared" si="83"/>
        <v>1.0000000864833136</v>
      </c>
      <c r="AB99" s="160">
        <f t="shared" si="84"/>
        <v>5.8427512140079305E-4</v>
      </c>
      <c r="AC99" s="171" t="str">
        <f t="shared" si="85"/>
        <v>52.7427727636926-54.3966617915062i</v>
      </c>
      <c r="AD99" s="190">
        <f t="shared" si="86"/>
        <v>37.589721819713247</v>
      </c>
      <c r="AE99" s="169">
        <f t="shared" si="87"/>
        <v>-45.884392712622812</v>
      </c>
      <c r="AF99" s="98" t="str">
        <f t="shared" si="72"/>
        <v>-0.0000366300366300366</v>
      </c>
      <c r="AG99" s="98" t="str">
        <f t="shared" si="73"/>
        <v>0.0000279916796411835i</v>
      </c>
      <c r="AH99" s="98">
        <f t="shared" si="88"/>
        <v>2.7991679641183501E-5</v>
      </c>
      <c r="AI99" s="98">
        <f t="shared" si="89"/>
        <v>1.5707963267948966</v>
      </c>
      <c r="AJ99" s="98" t="str">
        <f t="shared" si="74"/>
        <v>1+0.0039979714673398i</v>
      </c>
      <c r="AK99" s="98">
        <f t="shared" si="90"/>
        <v>1.0000079918559921</v>
      </c>
      <c r="AL99" s="98">
        <f t="shared" si="91"/>
        <v>3.9979501666508113E-3</v>
      </c>
      <c r="AM99" s="98" t="str">
        <f t="shared" si="75"/>
        <v>1+0.275860031246445i</v>
      </c>
      <c r="AN99" s="98">
        <f t="shared" si="92"/>
        <v>1.0373517999402564</v>
      </c>
      <c r="AO99" s="98">
        <f t="shared" si="93"/>
        <v>0.26916559916952926</v>
      </c>
      <c r="AP99" s="168" t="str">
        <f t="shared" si="94"/>
        <v>-0.355754215778056+1.31002674836963i</v>
      </c>
      <c r="AQ99" s="98">
        <f t="shared" si="95"/>
        <v>2.6546197579574704</v>
      </c>
      <c r="AR99" s="169">
        <f t="shared" si="96"/>
        <v>105.19298715127132</v>
      </c>
      <c r="AS99" s="168" t="str">
        <f t="shared" si="97"/>
        <v>52.4976182063817+88.4462848601999i</v>
      </c>
      <c r="AT99" s="190">
        <f t="shared" si="98"/>
        <v>40.244341577670717</v>
      </c>
      <c r="AU99" s="169">
        <f t="shared" si="99"/>
        <v>59.308594438648505</v>
      </c>
      <c r="AV99" s="225"/>
      <c r="AX99">
        <f t="shared" si="100"/>
        <v>0</v>
      </c>
      <c r="AY99">
        <f t="shared" si="101"/>
        <v>0</v>
      </c>
    </row>
    <row r="100" spans="14:51" x14ac:dyDescent="0.3">
      <c r="N100" s="170">
        <v>82</v>
      </c>
      <c r="O100" s="199">
        <f t="shared" si="76"/>
        <v>66.069344800759623</v>
      </c>
      <c r="P100" s="189" t="str">
        <f t="shared" si="67"/>
        <v>108.75</v>
      </c>
      <c r="Q100" s="160" t="str">
        <f t="shared" si="68"/>
        <v>1+1.05358962685506i</v>
      </c>
      <c r="R100" s="160">
        <f t="shared" si="77"/>
        <v>1.4526014944975736</v>
      </c>
      <c r="S100" s="160">
        <f t="shared" si="78"/>
        <v>0.8114878293366653</v>
      </c>
      <c r="T100" s="160" t="str">
        <f t="shared" si="69"/>
        <v>1+0.0000390218380316689i</v>
      </c>
      <c r="U100" s="160">
        <f t="shared" si="79"/>
        <v>1.0000000007613519</v>
      </c>
      <c r="V100" s="160">
        <f t="shared" si="80"/>
        <v>3.9021838011862666E-5</v>
      </c>
      <c r="W100" s="98" t="str">
        <f t="shared" si="70"/>
        <v>1-0.000309960699258647i</v>
      </c>
      <c r="X100" s="160">
        <f t="shared" si="81"/>
        <v>1.0000000480378164</v>
      </c>
      <c r="Y100" s="160">
        <f t="shared" si="82"/>
        <v>-3.0996068933209056E-4</v>
      </c>
      <c r="Z100" s="98" t="str">
        <f t="shared" si="71"/>
        <v>0.999999911826116+0.000597884654983076i</v>
      </c>
      <c r="AA100" s="160">
        <f t="shared" si="83"/>
        <v>1.0000000905591462</v>
      </c>
      <c r="AB100" s="160">
        <f t="shared" si="84"/>
        <v>5.9788463645973195E-4</v>
      </c>
      <c r="AC100" s="171" t="str">
        <f t="shared" si="85"/>
        <v>51.4918365674865-54.345749413683i</v>
      </c>
      <c r="AD100" s="190">
        <f t="shared" si="86"/>
        <v>37.48565521688991</v>
      </c>
      <c r="AE100" s="169">
        <f t="shared" si="87"/>
        <v>-46.544607666214866</v>
      </c>
      <c r="AF100" s="98" t="str">
        <f t="shared" si="72"/>
        <v>-0.0000366300366300366</v>
      </c>
      <c r="AG100" s="98" t="str">
        <f t="shared" si="73"/>
        <v>0.0000286436896189909i</v>
      </c>
      <c r="AH100" s="98">
        <f t="shared" si="88"/>
        <v>2.86436896189909E-5</v>
      </c>
      <c r="AI100" s="98">
        <f t="shared" si="89"/>
        <v>1.5707963267948966</v>
      </c>
      <c r="AJ100" s="98" t="str">
        <f t="shared" si="74"/>
        <v>1+0.00409109618586723i</v>
      </c>
      <c r="AK100" s="98">
        <f t="shared" si="90"/>
        <v>1.0000083684989851</v>
      </c>
      <c r="AL100" s="98">
        <f t="shared" si="91"/>
        <v>4.0910733617780795E-3</v>
      </c>
      <c r="AM100" s="98" t="str">
        <f t="shared" si="75"/>
        <v>1+0.282285636824838i</v>
      </c>
      <c r="AN100" s="98">
        <f t="shared" si="92"/>
        <v>1.039079006022932</v>
      </c>
      <c r="AO100" s="98">
        <f t="shared" si="93"/>
        <v>0.27512691321086702</v>
      </c>
      <c r="AP100" s="168" t="str">
        <f t="shared" si="94"/>
        <v>-0.355753947795685+1.28027240276085i</v>
      </c>
      <c r="AQ100" s="98">
        <f t="shared" si="95"/>
        <v>2.4690665946743788</v>
      </c>
      <c r="AR100" s="169">
        <f t="shared" si="96"/>
        <v>105.52920972013648</v>
      </c>
      <c r="AS100" s="168" t="str">
        <f t="shared" si="97"/>
        <v>51.2589390435615+85.2572922246577i</v>
      </c>
      <c r="AT100" s="190">
        <f t="shared" si="98"/>
        <v>39.954721811564291</v>
      </c>
      <c r="AU100" s="169">
        <f t="shared" si="99"/>
        <v>58.984602053921598</v>
      </c>
      <c r="AV100" s="225"/>
      <c r="AX100">
        <f t="shared" si="100"/>
        <v>0</v>
      </c>
      <c r="AY100">
        <f t="shared" si="101"/>
        <v>0</v>
      </c>
    </row>
    <row r="101" spans="14:51" x14ac:dyDescent="0.3">
      <c r="N101" s="170">
        <v>83</v>
      </c>
      <c r="O101" s="199">
        <f t="shared" si="76"/>
        <v>67.60829753919819</v>
      </c>
      <c r="P101" s="189" t="str">
        <f t="shared" si="67"/>
        <v>108.75</v>
      </c>
      <c r="Q101" s="160" t="str">
        <f t="shared" si="68"/>
        <v>1+1.07813088190047i</v>
      </c>
      <c r="R101" s="160">
        <f t="shared" si="77"/>
        <v>1.4704986224092444</v>
      </c>
      <c r="S101" s="160">
        <f t="shared" si="78"/>
        <v>0.82297717287042693</v>
      </c>
      <c r="T101" s="160" t="str">
        <f t="shared" si="69"/>
        <v>1+0.0000399307734037214i</v>
      </c>
      <c r="U101" s="160">
        <f t="shared" si="79"/>
        <v>1.0000000007972332</v>
      </c>
      <c r="V101" s="160">
        <f t="shared" si="80"/>
        <v>3.9930773382498639E-5</v>
      </c>
      <c r="W101" s="98" t="str">
        <f t="shared" si="70"/>
        <v>1-0.000317180611433816i</v>
      </c>
      <c r="X101" s="160">
        <f t="shared" si="81"/>
        <v>1.0000000503017688</v>
      </c>
      <c r="Y101" s="160">
        <f t="shared" si="82"/>
        <v>-3.1718060079731914E-4</v>
      </c>
      <c r="Z101" s="98" t="str">
        <f t="shared" si="71"/>
        <v>0.999999907670609+0.000611811177636378i</v>
      </c>
      <c r="AA101" s="160">
        <f t="shared" si="83"/>
        <v>1.0000000948270673</v>
      </c>
      <c r="AB101" s="160">
        <f t="shared" si="84"/>
        <v>6.1181115778825715E-4</v>
      </c>
      <c r="AC101" s="171" t="str">
        <f t="shared" si="85"/>
        <v>50.2439008073394-54.2661864527125i</v>
      </c>
      <c r="AD101" s="190">
        <f t="shared" si="86"/>
        <v>37.379292492955528</v>
      </c>
      <c r="AE101" s="169">
        <f t="shared" si="87"/>
        <v>-47.204058083265764</v>
      </c>
      <c r="AF101" s="98" t="str">
        <f t="shared" si="72"/>
        <v>-0.0000366300366300366</v>
      </c>
      <c r="AG101" s="98" t="str">
        <f t="shared" si="73"/>
        <v>0.0000293108868601784i</v>
      </c>
      <c r="AH101" s="98">
        <f t="shared" si="88"/>
        <v>2.93108868601784E-5</v>
      </c>
      <c r="AI101" s="98">
        <f t="shared" si="89"/>
        <v>1.5707963267948966</v>
      </c>
      <c r="AJ101" s="98" t="str">
        <f t="shared" si="74"/>
        <v>1+0.00418639005774445i</v>
      </c>
      <c r="AK101" s="98">
        <f t="shared" si="90"/>
        <v>1.0000087628924637</v>
      </c>
      <c r="AL101" s="98">
        <f t="shared" si="91"/>
        <v>4.1863656013038748E-3</v>
      </c>
      <c r="AM101" s="98" t="str">
        <f t="shared" si="75"/>
        <v>1+0.288860913984366i</v>
      </c>
      <c r="AN101" s="98">
        <f t="shared" si="92"/>
        <v>1.0408845409688259</v>
      </c>
      <c r="AO101" s="98">
        <f t="shared" si="93"/>
        <v>0.28120638167936968</v>
      </c>
      <c r="AP101" s="168" t="str">
        <f t="shared" si="94"/>
        <v>-0.355753667184124+1.25119687442305i</v>
      </c>
      <c r="AQ101" s="98">
        <f t="shared" si="95"/>
        <v>2.2841429344956756</v>
      </c>
      <c r="AR101" s="169">
        <f t="shared" si="96"/>
        <v>105.87207776191941</v>
      </c>
      <c r="AS101" s="168" t="str">
        <f t="shared" si="97"/>
        <v>50.023230910646+82.1704064836147i</v>
      </c>
      <c r="AT101" s="190">
        <f t="shared" si="98"/>
        <v>39.663435427451205</v>
      </c>
      <c r="AU101" s="169">
        <f t="shared" si="99"/>
        <v>58.66801967865365</v>
      </c>
      <c r="AV101" s="225"/>
      <c r="AX101">
        <f t="shared" si="100"/>
        <v>0</v>
      </c>
      <c r="AY101">
        <f t="shared" si="101"/>
        <v>0</v>
      </c>
    </row>
    <row r="102" spans="14:51" x14ac:dyDescent="0.3">
      <c r="N102" s="170">
        <v>84</v>
      </c>
      <c r="O102" s="199">
        <f t="shared" si="76"/>
        <v>69.183097091893657</v>
      </c>
      <c r="P102" s="189" t="str">
        <f t="shared" si="67"/>
        <v>108.75</v>
      </c>
      <c r="Q102" s="160" t="str">
        <f t="shared" si="68"/>
        <v>1+1.10324377621022i</v>
      </c>
      <c r="R102" s="160">
        <f t="shared" si="77"/>
        <v>1.4890086734960903</v>
      </c>
      <c r="S102" s="160">
        <f t="shared" si="78"/>
        <v>0.83444667169604692</v>
      </c>
      <c r="T102" s="160" t="str">
        <f t="shared" si="69"/>
        <v>1+0.0000408608806003788i</v>
      </c>
      <c r="U102" s="160">
        <f t="shared" si="79"/>
        <v>1.0000000008348058</v>
      </c>
      <c r="V102" s="160">
        <f t="shared" si="80"/>
        <v>4.0860880577638203E-5</v>
      </c>
      <c r="W102" s="98" t="str">
        <f t="shared" si="70"/>
        <v>1-0.000324568696967548i</v>
      </c>
      <c r="X102" s="160">
        <f t="shared" si="81"/>
        <v>1.0000000526724182</v>
      </c>
      <c r="Y102" s="160">
        <f t="shared" si="82"/>
        <v>-3.245686855703363E-4</v>
      </c>
      <c r="Z102" s="98" t="str">
        <f t="shared" si="71"/>
        <v>0.999999903319259+0.000626062090674341i</v>
      </c>
      <c r="AA102" s="160">
        <f t="shared" si="83"/>
        <v>1.0000000992961295</v>
      </c>
      <c r="AB102" s="160">
        <f t="shared" si="84"/>
        <v>6.2606206940669625E-4</v>
      </c>
      <c r="AC102" s="171" t="str">
        <f t="shared" si="85"/>
        <v>49.0002720728779-54.1581826526727i</v>
      </c>
      <c r="AD102" s="190">
        <f t="shared" si="86"/>
        <v>37.27064036419813</v>
      </c>
      <c r="AE102" s="169">
        <f t="shared" si="87"/>
        <v>-47.862398491053391</v>
      </c>
      <c r="AF102" s="98" t="str">
        <f t="shared" si="72"/>
        <v>-0.0000366300366300366</v>
      </c>
      <c r="AG102" s="98" t="str">
        <f t="shared" si="73"/>
        <v>0.0000299936251215546i</v>
      </c>
      <c r="AH102" s="98">
        <f t="shared" si="88"/>
        <v>2.99936251215546E-5</v>
      </c>
      <c r="AI102" s="98">
        <f t="shared" si="89"/>
        <v>1.5707963267948966</v>
      </c>
      <c r="AJ102" s="98" t="str">
        <f t="shared" si="74"/>
        <v>1+0.00428390360904372i</v>
      </c>
      <c r="AK102" s="98">
        <f t="shared" si="90"/>
        <v>1.0000091758729674</v>
      </c>
      <c r="AL102" s="98">
        <f t="shared" si="91"/>
        <v>4.2838774035084933E-3</v>
      </c>
      <c r="AM102" s="98" t="str">
        <f t="shared" si="75"/>
        <v>1+0.295589349024016i</v>
      </c>
      <c r="AN102" s="98">
        <f t="shared" si="92"/>
        <v>1.0427718174444693</v>
      </c>
      <c r="AO102" s="98">
        <f t="shared" si="93"/>
        <v>0.28740542971525124</v>
      </c>
      <c r="AP102" s="168" t="str">
        <f t="shared" si="94"/>
        <v>-0.355753373348225+1.22278474711887i</v>
      </c>
      <c r="AQ102" s="98">
        <f t="shared" si="95"/>
        <v>2.099873880233464</v>
      </c>
      <c r="AR102" s="169">
        <f t="shared" si="96"/>
        <v>106.22167003665528</v>
      </c>
      <c r="AS102" s="168" t="str">
        <f t="shared" si="97"/>
        <v>48.7917875944588+79.1837414684875i</v>
      </c>
      <c r="AT102" s="190">
        <f t="shared" si="98"/>
        <v>39.370514244431597</v>
      </c>
      <c r="AU102" s="169">
        <f t="shared" si="99"/>
        <v>58.359271545601906</v>
      </c>
      <c r="AV102" s="225"/>
      <c r="AX102">
        <f t="shared" si="100"/>
        <v>0</v>
      </c>
      <c r="AY102">
        <f t="shared" si="101"/>
        <v>0</v>
      </c>
    </row>
    <row r="103" spans="14:51" x14ac:dyDescent="0.3">
      <c r="N103" s="170">
        <v>85</v>
      </c>
      <c r="O103" s="199">
        <f t="shared" si="76"/>
        <v>70.794578438413865</v>
      </c>
      <c r="P103" s="189" t="str">
        <f t="shared" si="67"/>
        <v>108.75</v>
      </c>
      <c r="Q103" s="160" t="str">
        <f t="shared" si="68"/>
        <v>1+1.12894162497328i</v>
      </c>
      <c r="R103" s="160">
        <f t="shared" si="77"/>
        <v>1.5081476030539287</v>
      </c>
      <c r="S103" s="160">
        <f t="shared" si="78"/>
        <v>0.84589033765397559</v>
      </c>
      <c r="T103" s="160" t="str">
        <f t="shared" si="69"/>
        <v>1+0.0000418126527767883i</v>
      </c>
      <c r="U103" s="160">
        <f t="shared" si="79"/>
        <v>1.000000000874149</v>
      </c>
      <c r="V103" s="160">
        <f t="shared" si="80"/>
        <v>4.1812652752421307E-5</v>
      </c>
      <c r="W103" s="98" t="str">
        <f t="shared" si="70"/>
        <v>1-0.000332128873120588i</v>
      </c>
      <c r="X103" s="160">
        <f t="shared" si="81"/>
        <v>1.0000000551547927</v>
      </c>
      <c r="Y103" s="160">
        <f t="shared" si="82"/>
        <v>-3.3212886090825571E-4</v>
      </c>
      <c r="Z103" s="98" t="str">
        <f t="shared" si="71"/>
        <v>0.999999898762836+0.000640644950119692i</v>
      </c>
      <c r="AA103" s="160">
        <f t="shared" si="83"/>
        <v>1.0000001039758117</v>
      </c>
      <c r="AB103" s="160">
        <f t="shared" si="84"/>
        <v>6.4064492733100018E-4</v>
      </c>
      <c r="AC103" s="171" t="str">
        <f t="shared" si="85"/>
        <v>47.762238860428-54.0220215554592i</v>
      </c>
      <c r="AD103" s="190">
        <f t="shared" si="86"/>
        <v>37.159707932044071</v>
      </c>
      <c r="AE103" s="169">
        <f t="shared" si="87"/>
        <v>-48.519286422423015</v>
      </c>
      <c r="AF103" s="98" t="str">
        <f t="shared" si="72"/>
        <v>-0.0000366300366300366</v>
      </c>
      <c r="AG103" s="98" t="str">
        <f t="shared" si="73"/>
        <v>0.0000306922663999828i</v>
      </c>
      <c r="AH103" s="98">
        <f t="shared" si="88"/>
        <v>3.0692266399982799E-5</v>
      </c>
      <c r="AI103" s="98">
        <f t="shared" si="89"/>
        <v>1.5707963267948966</v>
      </c>
      <c r="AJ103" s="98" t="str">
        <f t="shared" si="74"/>
        <v>1+0.00438368854274067i</v>
      </c>
      <c r="AK103" s="98">
        <f t="shared" si="90"/>
        <v>1.00000960831646</v>
      </c>
      <c r="AL103" s="98">
        <f t="shared" si="91"/>
        <v>4.3836604630183426E-3</v>
      </c>
      <c r="AM103" s="98" t="str">
        <f t="shared" si="75"/>
        <v>1+0.302474509449106i</v>
      </c>
      <c r="AN103" s="98">
        <f t="shared" si="92"/>
        <v>1.0447443844627629</v>
      </c>
      <c r="AO103" s="98">
        <f t="shared" si="93"/>
        <v>0.29372543766152365</v>
      </c>
      <c r="AP103" s="168" t="str">
        <f t="shared" si="94"/>
        <v>-0.355753065664785+1.19502095635441i</v>
      </c>
      <c r="AQ103" s="98">
        <f t="shared" si="95"/>
        <v>1.9162853303832541</v>
      </c>
      <c r="AR103" s="169">
        <f t="shared" si="96"/>
        <v>106.57806267028889</v>
      </c>
      <c r="AS103" s="168" t="str">
        <f t="shared" si="97"/>
        <v>47.5658849657924+76.2953761423801i</v>
      </c>
      <c r="AT103" s="190">
        <f t="shared" si="98"/>
        <v>39.075993262427318</v>
      </c>
      <c r="AU103" s="169">
        <f t="shared" si="99"/>
        <v>58.058776247865893</v>
      </c>
      <c r="AV103" s="225"/>
      <c r="AX103">
        <f t="shared" si="100"/>
        <v>0</v>
      </c>
      <c r="AY103">
        <f t="shared" si="101"/>
        <v>0</v>
      </c>
    </row>
    <row r="104" spans="14:51" x14ac:dyDescent="0.3">
      <c r="N104" s="170">
        <v>86</v>
      </c>
      <c r="O104" s="199">
        <f t="shared" si="76"/>
        <v>72.443596007499011</v>
      </c>
      <c r="P104" s="189" t="str">
        <f t="shared" si="67"/>
        <v>108.75</v>
      </c>
      <c r="Q104" s="160" t="str">
        <f t="shared" si="68"/>
        <v>1+1.1552380535292i</v>
      </c>
      <c r="R104" s="160">
        <f t="shared" si="77"/>
        <v>1.527931595432837</v>
      </c>
      <c r="S104" s="160">
        <f t="shared" si="78"/>
        <v>0.85730225022108619</v>
      </c>
      <c r="T104" s="160" t="str">
        <f t="shared" si="69"/>
        <v>1+0.0000427865945751558i</v>
      </c>
      <c r="U104" s="160">
        <f t="shared" si="79"/>
        <v>1.0000000009153462</v>
      </c>
      <c r="V104" s="160">
        <f t="shared" si="80"/>
        <v>4.2786594549046097E-5</v>
      </c>
      <c r="W104" s="98" t="str">
        <f t="shared" si="70"/>
        <v>1-0.000339865148398401i</v>
      </c>
      <c r="X104" s="160">
        <f t="shared" si="81"/>
        <v>1.0000000577541579</v>
      </c>
      <c r="Y104" s="160">
        <f t="shared" si="82"/>
        <v>-3.3986513531265123E-4</v>
      </c>
      <c r="Z104" s="98" t="str">
        <f t="shared" si="71"/>
        <v>0.999999893991676+0.000655567487997532i</v>
      </c>
      <c r="AA104" s="160">
        <f t="shared" si="83"/>
        <v>1.0000001088760415</v>
      </c>
      <c r="AB104" s="160">
        <f t="shared" si="84"/>
        <v>6.5556746357900853E-4</v>
      </c>
      <c r="AC104" s="171" t="str">
        <f t="shared" si="85"/>
        <v>46.5310663005677-53.8580586938067i</v>
      </c>
      <c r="AD104" s="190">
        <f t="shared" si="86"/>
        <v>37.046506644937594</v>
      </c>
      <c r="AE104" s="169">
        <f t="shared" si="87"/>
        <v>-49.174383300155512</v>
      </c>
      <c r="AF104" s="98" t="str">
        <f t="shared" si="72"/>
        <v>-0.0000366300366300366</v>
      </c>
      <c r="AG104" s="98" t="str">
        <f t="shared" si="73"/>
        <v>0.0000314071811243164i</v>
      </c>
      <c r="AH104" s="98">
        <f t="shared" si="88"/>
        <v>3.1407181124316398E-5</v>
      </c>
      <c r="AI104" s="98">
        <f t="shared" si="89"/>
        <v>1.5707963267948966</v>
      </c>
      <c r="AJ104" s="98" t="str">
        <f t="shared" si="74"/>
        <v>1+0.00448579776612795i</v>
      </c>
      <c r="AK104" s="98">
        <f t="shared" si="90"/>
        <v>1.0000100611401861</v>
      </c>
      <c r="AL104" s="98">
        <f t="shared" si="91"/>
        <v>4.4857676781797388E-3</v>
      </c>
      <c r="AM104" s="98" t="str">
        <f t="shared" si="75"/>
        <v>1+0.309520045862828i</v>
      </c>
      <c r="AN104" s="98">
        <f t="shared" si="92"/>
        <v>1.0468059317709884</v>
      </c>
      <c r="AO104" s="98">
        <f t="shared" si="93"/>
        <v>0.30016773621809478</v>
      </c>
      <c r="AP104" s="168" t="str">
        <f t="shared" si="94"/>
        <v>-0.355752743481242+1.16789078139181i</v>
      </c>
      <c r="AQ104" s="98">
        <f t="shared" si="95"/>
        <v>1.7334039862286019</v>
      </c>
      <c r="AR104" s="169">
        <f t="shared" si="96"/>
        <v>106.94132887545712</v>
      </c>
      <c r="AS104" s="168" t="str">
        <f t="shared" si="97"/>
        <v>46.3467757586213+73.5033555196596i</v>
      </c>
      <c r="AT104" s="190">
        <f t="shared" si="98"/>
        <v>38.779910631166189</v>
      </c>
      <c r="AU104" s="169">
        <f t="shared" si="99"/>
        <v>57.766945575301634</v>
      </c>
      <c r="AV104" s="225"/>
      <c r="AX104">
        <f t="shared" si="100"/>
        <v>0</v>
      </c>
      <c r="AY104">
        <f t="shared" si="101"/>
        <v>0</v>
      </c>
    </row>
    <row r="105" spans="14:51" x14ac:dyDescent="0.3">
      <c r="N105" s="170">
        <v>87</v>
      </c>
      <c r="O105" s="199">
        <f t="shared" si="76"/>
        <v>74.131024130091816</v>
      </c>
      <c r="P105" s="189" t="str">
        <f t="shared" si="67"/>
        <v>108.75</v>
      </c>
      <c r="Q105" s="160" t="str">
        <f t="shared" si="68"/>
        <v>1+1.18214700459249i</v>
      </c>
      <c r="R105" s="160">
        <f t="shared" si="77"/>
        <v>1.5483770666304113</v>
      </c>
      <c r="S105" s="160">
        <f t="shared" si="78"/>
        <v>0.86867657151067701</v>
      </c>
      <c r="T105" s="160" t="str">
        <f t="shared" si="69"/>
        <v>1+0.0000437832223923147i</v>
      </c>
      <c r="U105" s="160">
        <f t="shared" si="79"/>
        <v>1.0000000009584853</v>
      </c>
      <c r="V105" s="160">
        <f t="shared" si="80"/>
        <v>4.3783222364337647E-5</v>
      </c>
      <c r="W105" s="98" t="str">
        <f t="shared" si="70"/>
        <v>1-0.000347781624676543i</v>
      </c>
      <c r="X105" s="160">
        <f t="shared" si="81"/>
        <v>1.0000000604760273</v>
      </c>
      <c r="Y105" s="160">
        <f t="shared" si="82"/>
        <v>-3.4778161065490953E-4</v>
      </c>
      <c r="Z105" s="98" t="str">
        <f t="shared" si="71"/>
        <v>0.999999888995657+0.000670837616434973i</v>
      </c>
      <c r="AA105" s="160">
        <f t="shared" si="83"/>
        <v>1.0000001140072106</v>
      </c>
      <c r="AB105" s="160">
        <f t="shared" si="84"/>
        <v>6.7083759027005427E-4</v>
      </c>
      <c r="AC105" s="171" t="str">
        <f t="shared" si="85"/>
        <v>45.3079910917019-53.6667193434627i</v>
      </c>
      <c r="AD105" s="190">
        <f t="shared" si="86"/>
        <v>36.931050250715096</v>
      </c>
      <c r="AE105" s="169">
        <f t="shared" si="87"/>
        <v>-49.827355296744997</v>
      </c>
      <c r="AF105" s="98" t="str">
        <f t="shared" si="72"/>
        <v>-0.0000366300366300366</v>
      </c>
      <c r="AG105" s="98" t="str">
        <f t="shared" si="73"/>
        <v>0.0000321387483518054i</v>
      </c>
      <c r="AH105" s="98">
        <f t="shared" si="88"/>
        <v>3.21387483518054E-5</v>
      </c>
      <c r="AI105" s="98">
        <f t="shared" si="89"/>
        <v>1.5707963267948966</v>
      </c>
      <c r="AJ105" s="98" t="str">
        <f t="shared" si="74"/>
        <v>1+0.0045902854188674i</v>
      </c>
      <c r="AK105" s="98">
        <f t="shared" si="90"/>
        <v>1.0000105353046169</v>
      </c>
      <c r="AL105" s="98">
        <f t="shared" si="91"/>
        <v>4.5902531790683815E-3</v>
      </c>
      <c r="AM105" s="98" t="str">
        <f t="shared" si="75"/>
        <v>1+0.31672969390185i</v>
      </c>
      <c r="AN105" s="98">
        <f t="shared" si="92"/>
        <v>1.048960294291047</v>
      </c>
      <c r="AO105" s="98">
        <f t="shared" si="93"/>
        <v>0.30673360138366745</v>
      </c>
      <c r="AP105" s="168" t="str">
        <f t="shared" si="94"/>
        <v>-0.355752406114282+1.14137983744411i</v>
      </c>
      <c r="AQ105" s="98">
        <f t="shared" si="95"/>
        <v>1.5512573572240698</v>
      </c>
      <c r="AR105" s="169">
        <f t="shared" si="96"/>
        <v>107.31153866007513</v>
      </c>
      <c r="AS105" s="168" t="str">
        <f t="shared" si="97"/>
        <v>45.1356845533227+70.8056920418626i</v>
      </c>
      <c r="AT105" s="190">
        <f t="shared" si="98"/>
        <v>38.482307607939163</v>
      </c>
      <c r="AU105" s="169">
        <f t="shared" si="99"/>
        <v>57.484183363330146</v>
      </c>
      <c r="AV105" s="225"/>
      <c r="AX105">
        <f t="shared" si="100"/>
        <v>0</v>
      </c>
      <c r="AY105">
        <f t="shared" si="101"/>
        <v>0</v>
      </c>
    </row>
    <row r="106" spans="14:51" x14ac:dyDescent="0.3">
      <c r="N106" s="170">
        <v>88</v>
      </c>
      <c r="O106" s="199">
        <f t="shared" si="76"/>
        <v>75.857757502918361</v>
      </c>
      <c r="P106" s="189" t="str">
        <f t="shared" si="67"/>
        <v>108.75</v>
      </c>
      <c r="Q106" s="160" t="str">
        <f t="shared" si="68"/>
        <v>1+1.20968274564518i</v>
      </c>
      <c r="R106" s="160">
        <f t="shared" si="77"/>
        <v>1.5695006674454335</v>
      </c>
      <c r="S106" s="160">
        <f t="shared" si="78"/>
        <v>0.88000756075252684</v>
      </c>
      <c r="T106" s="160" t="str">
        <f t="shared" si="69"/>
        <v>1+0.0000448030646535254i</v>
      </c>
      <c r="U106" s="160">
        <f t="shared" si="79"/>
        <v>1.0000000010036572</v>
      </c>
      <c r="V106" s="160">
        <f t="shared" si="80"/>
        <v>4.4803064623547451E-5</v>
      </c>
      <c r="W106" s="98" t="str">
        <f t="shared" si="70"/>
        <v>1-0.000355882499375521i</v>
      </c>
      <c r="X106" s="160">
        <f t="shared" si="81"/>
        <v>1.0000000633261745</v>
      </c>
      <c r="Y106" s="160">
        <f t="shared" si="82"/>
        <v>-3.5588248435107012E-4</v>
      </c>
      <c r="Z106" s="98" t="str">
        <f t="shared" si="71"/>
        <v>0.999999883764184+0.000686463431856232i</v>
      </c>
      <c r="AA106" s="160">
        <f t="shared" si="83"/>
        <v>1.0000001193802053</v>
      </c>
      <c r="AB106" s="160">
        <f t="shared" si="84"/>
        <v>6.8646340382001606E-4</v>
      </c>
      <c r="AC106" s="171" t="str">
        <f t="shared" si="85"/>
        <v>44.0942166817427-53.4484958607413i</v>
      </c>
      <c r="AD106" s="190">
        <f t="shared" si="86"/>
        <v>36.813354739890933</v>
      </c>
      <c r="AE106" s="169">
        <f t="shared" si="87"/>
        <v>-50.477874164395132</v>
      </c>
      <c r="AF106" s="98" t="str">
        <f t="shared" si="72"/>
        <v>-0.0000366300366300366</v>
      </c>
      <c r="AG106" s="98" t="str">
        <f t="shared" si="73"/>
        <v>0.0000328873559690771i</v>
      </c>
      <c r="AH106" s="98">
        <f t="shared" si="88"/>
        <v>3.2887355969077103E-5</v>
      </c>
      <c r="AI106" s="98">
        <f t="shared" si="89"/>
        <v>1.5707963267948966</v>
      </c>
      <c r="AJ106" s="98" t="str">
        <f t="shared" si="74"/>
        <v>1+0.00469720690169554i</v>
      </c>
      <c r="AK106" s="98">
        <f t="shared" si="90"/>
        <v>1.0000110318154882</v>
      </c>
      <c r="AL106" s="98">
        <f t="shared" si="91"/>
        <v>4.6971723561490767E-3</v>
      </c>
      <c r="AM106" s="98" t="str">
        <f t="shared" si="75"/>
        <v>1+0.324107276216991i</v>
      </c>
      <c r="AN106" s="98">
        <f t="shared" si="92"/>
        <v>1.0512114566046153</v>
      </c>
      <c r="AO106" s="98">
        <f t="shared" si="93"/>
        <v>0.31342424918804473</v>
      </c>
      <c r="AP106" s="168" t="str">
        <f t="shared" si="94"/>
        <v>-0.355752052848392+1.11547406804816i</v>
      </c>
      <c r="AQ106" s="98">
        <f t="shared" si="95"/>
        <v>1.3698737644785912</v>
      </c>
      <c r="AR106" s="169">
        <f t="shared" si="96"/>
        <v>107.68875852387878</v>
      </c>
      <c r="AS106" s="168" t="str">
        <f t="shared" si="97"/>
        <v>43.9338030055646+68.2003673834981i</v>
      </c>
      <c r="AT106" s="190">
        <f t="shared" si="98"/>
        <v>38.183228504369524</v>
      </c>
      <c r="AU106" s="169">
        <f t="shared" si="99"/>
        <v>57.210884359483636</v>
      </c>
      <c r="AV106" s="225"/>
      <c r="AX106">
        <f t="shared" si="100"/>
        <v>0</v>
      </c>
      <c r="AY106">
        <f t="shared" si="101"/>
        <v>0</v>
      </c>
    </row>
    <row r="107" spans="14:51" x14ac:dyDescent="0.3">
      <c r="N107" s="170">
        <v>89</v>
      </c>
      <c r="O107" s="199">
        <f t="shared" si="76"/>
        <v>77.624711662869217</v>
      </c>
      <c r="P107" s="189" t="str">
        <f t="shared" si="67"/>
        <v>108.75</v>
      </c>
      <c r="Q107" s="160" t="str">
        <f t="shared" si="68"/>
        <v>1+1.23785987650166i</v>
      </c>
      <c r="R107" s="160">
        <f t="shared" si="77"/>
        <v>1.5913192872119364</v>
      </c>
      <c r="S107" s="160">
        <f t="shared" si="78"/>
        <v>0.89128958816853587</v>
      </c>
      <c r="T107" s="160" t="str">
        <f t="shared" si="69"/>
        <v>1+0.0000458466620926542i</v>
      </c>
      <c r="U107" s="160">
        <f t="shared" si="79"/>
        <v>1.0000000010509582</v>
      </c>
      <c r="V107" s="160">
        <f t="shared" si="80"/>
        <v>4.5846662060532253E-5</v>
      </c>
      <c r="W107" s="98" t="str">
        <f t="shared" si="70"/>
        <v>1-0.000364172067686331i</v>
      </c>
      <c r="X107" s="160">
        <f t="shared" si="81"/>
        <v>1.0000000663106452</v>
      </c>
      <c r="Y107" s="160">
        <f t="shared" si="82"/>
        <v>-3.6417205158734188E-4</v>
      </c>
      <c r="Z107" s="98" t="str">
        <f t="shared" si="71"/>
        <v>0.999999878286159+0.00070245321927548i</v>
      </c>
      <c r="AA107" s="160">
        <f t="shared" si="83"/>
        <v>1.0000001250064212</v>
      </c>
      <c r="AB107" s="160">
        <f t="shared" si="84"/>
        <v>7.0245318923413337E-4</v>
      </c>
      <c r="AC107" s="171" t="str">
        <f t="shared" si="85"/>
        <v>42.8909087363061-53.2039446361307i</v>
      </c>
      <c r="AD107" s="190">
        <f t="shared" si="86"/>
        <v>36.693438280347209</v>
      </c>
      <c r="AE107" s="169">
        <f t="shared" si="87"/>
        <v>-51.125618030390854</v>
      </c>
      <c r="AF107" s="98" t="str">
        <f t="shared" si="72"/>
        <v>-0.0000366300366300366</v>
      </c>
      <c r="AG107" s="98" t="str">
        <f t="shared" si="73"/>
        <v>0.0000336534008977992i</v>
      </c>
      <c r="AH107" s="98">
        <f t="shared" si="88"/>
        <v>3.3653400897799202E-5</v>
      </c>
      <c r="AI107" s="98">
        <f t="shared" si="89"/>
        <v>1.5707963267948966</v>
      </c>
      <c r="AJ107" s="98" t="str">
        <f t="shared" si="74"/>
        <v>1+0.00480661890579784i</v>
      </c>
      <c r="AK107" s="98">
        <f t="shared" si="90"/>
        <v>1.0000115517259316</v>
      </c>
      <c r="AL107" s="98">
        <f t="shared" si="91"/>
        <v>4.8065818896009891E-3</v>
      </c>
      <c r="AM107" s="98" t="str">
        <f t="shared" si="75"/>
        <v>1+0.33165670450005i</v>
      </c>
      <c r="AN107" s="98">
        <f t="shared" si="92"/>
        <v>1.0535635574752162</v>
      </c>
      <c r="AO107" s="98">
        <f t="shared" si="93"/>
        <v>0.3202408302190069</v>
      </c>
      <c r="AP107" s="168" t="str">
        <f t="shared" si="94"/>
        <v>-0.355751682934347+1.0901597376117i</v>
      </c>
      <c r="AQ107" s="98">
        <f t="shared" si="95"/>
        <v>1.1892823421560526</v>
      </c>
      <c r="AR107" s="169">
        <f t="shared" si="96"/>
        <v>108.0730511431565</v>
      </c>
      <c r="AS107" s="168" t="str">
        <f t="shared" si="97"/>
        <v>42.7422853589073+65.6853346569482i</v>
      </c>
      <c r="AT107" s="190">
        <f t="shared" si="98"/>
        <v>37.882720622503271</v>
      </c>
      <c r="AU107" s="169">
        <f t="shared" si="99"/>
        <v>56.947433112765665</v>
      </c>
      <c r="AV107" s="225"/>
      <c r="AX107">
        <f t="shared" si="100"/>
        <v>0</v>
      </c>
      <c r="AY107">
        <f t="shared" si="101"/>
        <v>0</v>
      </c>
    </row>
    <row r="108" spans="14:51" x14ac:dyDescent="0.3">
      <c r="N108" s="170">
        <v>90</v>
      </c>
      <c r="O108" s="199">
        <f t="shared" si="76"/>
        <v>79.432823472428197</v>
      </c>
      <c r="P108" s="189" t="str">
        <f t="shared" si="67"/>
        <v>108.75</v>
      </c>
      <c r="Q108" s="160" t="str">
        <f t="shared" si="68"/>
        <v>1+1.26669333704967i</v>
      </c>
      <c r="R108" s="160">
        <f t="shared" si="77"/>
        <v>1.6138500581299455</v>
      </c>
      <c r="S108" s="160">
        <f t="shared" si="78"/>
        <v>0.90251714816625661</v>
      </c>
      <c r="T108" s="160" t="str">
        <f t="shared" si="69"/>
        <v>1+0.0000469145680388767i</v>
      </c>
      <c r="U108" s="160">
        <f t="shared" si="79"/>
        <v>1.0000000011004884</v>
      </c>
      <c r="V108" s="160">
        <f t="shared" si="80"/>
        <v>4.6914568004457405E-5</v>
      </c>
      <c r="W108" s="98" t="str">
        <f t="shared" si="70"/>
        <v>1-0.000372654724847815i</v>
      </c>
      <c r="X108" s="160">
        <f t="shared" si="81"/>
        <v>1.0000000694357696</v>
      </c>
      <c r="Y108" s="160">
        <f t="shared" si="82"/>
        <v>-3.7265470759743744E-4</v>
      </c>
      <c r="Z108" s="98" t="str">
        <f t="shared" si="71"/>
        <v>0.999999872549962+0.000718815456689655i</v>
      </c>
      <c r="AA108" s="160">
        <f t="shared" si="83"/>
        <v>1.0000001308977919</v>
      </c>
      <c r="AB108" s="160">
        <f t="shared" si="84"/>
        <v>7.188154244997725E-4</v>
      </c>
      <c r="AC108" s="171" t="str">
        <f t="shared" si="85"/>
        <v>41.6991909276468-52.9336826984934i</v>
      </c>
      <c r="AD108" s="190">
        <f t="shared" si="86"/>
        <v>36.5713211439855</v>
      </c>
      <c r="AE108" s="169">
        <f t="shared" si="87"/>
        <v>-51.770272153399162</v>
      </c>
      <c r="AF108" s="98" t="str">
        <f t="shared" si="72"/>
        <v>-0.0000366300366300366</v>
      </c>
      <c r="AG108" s="98" t="str">
        <f t="shared" si="73"/>
        <v>0.0000344372893051328i</v>
      </c>
      <c r="AH108" s="98">
        <f t="shared" si="88"/>
        <v>3.4437289305132797E-5</v>
      </c>
      <c r="AI108" s="98">
        <f t="shared" si="89"/>
        <v>1.5707963267948966</v>
      </c>
      <c r="AJ108" s="98" t="str">
        <f t="shared" si="74"/>
        <v>1+0.00491857944286712i</v>
      </c>
      <c r="AK108" s="98">
        <f t="shared" si="90"/>
        <v>1.0000120961387096</v>
      </c>
      <c r="AL108" s="98">
        <f t="shared" si="91"/>
        <v>4.9185397793234994E-3</v>
      </c>
      <c r="AM108" s="98" t="str">
        <f t="shared" si="75"/>
        <v>1+0.33938198155783i</v>
      </c>
      <c r="AN108" s="98">
        <f t="shared" si="92"/>
        <v>1.0560208943984579</v>
      </c>
      <c r="AO108" s="98">
        <f t="shared" si="93"/>
        <v>0.32718442394953784</v>
      </c>
      <c r="AP108" s="168" t="str">
        <f t="shared" si="94"/>
        <v>-0.355751295587614+1.06542342413045i</v>
      </c>
      <c r="AQ108" s="98">
        <f t="shared" si="95"/>
        <v>1.0095130366008134</v>
      </c>
      <c r="AR108" s="169">
        <f t="shared" si="96"/>
        <v>108.46447504400523</v>
      </c>
      <c r="AS108" s="168" t="str">
        <f t="shared" si="97"/>
        <v>41.562244274998+63.2585209818156i</v>
      </c>
      <c r="AT108" s="190">
        <f t="shared" si="98"/>
        <v>37.580834180586322</v>
      </c>
      <c r="AU108" s="169">
        <f t="shared" si="99"/>
        <v>56.694202890606078</v>
      </c>
      <c r="AV108" s="225"/>
      <c r="AX108">
        <f t="shared" si="100"/>
        <v>0</v>
      </c>
      <c r="AY108">
        <f t="shared" si="101"/>
        <v>0</v>
      </c>
    </row>
    <row r="109" spans="14:51" x14ac:dyDescent="0.3">
      <c r="N109" s="170">
        <v>91</v>
      </c>
      <c r="O109" s="199">
        <f t="shared" si="76"/>
        <v>81.283051616409963</v>
      </c>
      <c r="P109" s="189" t="str">
        <f t="shared" si="67"/>
        <v>108.75</v>
      </c>
      <c r="Q109" s="160" t="str">
        <f t="shared" si="68"/>
        <v>1+1.29619841517165i</v>
      </c>
      <c r="R109" s="160">
        <f t="shared" si="77"/>
        <v>1.6371103602059014</v>
      </c>
      <c r="S109" s="160">
        <f t="shared" si="78"/>
        <v>0.91368487178038449</v>
      </c>
      <c r="T109" s="160" t="str">
        <f t="shared" si="69"/>
        <v>1+0.0000480073487100611i</v>
      </c>
      <c r="U109" s="160">
        <f t="shared" si="79"/>
        <v>1.0000000011523527</v>
      </c>
      <c r="V109" s="160">
        <f t="shared" si="80"/>
        <v>4.8007348673180168E-5</v>
      </c>
      <c r="W109" s="98" t="str">
        <f t="shared" si="70"/>
        <v>1-0.000381334968477082i</v>
      </c>
      <c r="X109" s="160">
        <f t="shared" si="81"/>
        <v>1.0000000727081766</v>
      </c>
      <c r="Y109" s="160">
        <f t="shared" si="82"/>
        <v>-3.8133494999296948E-4</v>
      </c>
      <c r="Z109" s="98" t="str">
        <f t="shared" si="71"/>
        <v>0.999999866543427+0.000735558819573613i</v>
      </c>
      <c r="AA109" s="160">
        <f t="shared" si="83"/>
        <v>1.000000137066815</v>
      </c>
      <c r="AB109" s="160">
        <f t="shared" si="84"/>
        <v>7.3555878508153242E-4</v>
      </c>
      <c r="AC109" s="171" t="str">
        <f t="shared" si="85"/>
        <v>40.5201410739777-52.638384007661i</v>
      </c>
      <c r="AD109" s="190">
        <f t="shared" si="86"/>
        <v>36.447025625958581</v>
      </c>
      <c r="AE109" s="169">
        <f t="shared" si="87"/>
        <v>-52.411529636687661</v>
      </c>
      <c r="AF109" s="98" t="str">
        <f t="shared" si="72"/>
        <v>-0.0000366300366300366</v>
      </c>
      <c r="AG109" s="98" t="str">
        <f t="shared" si="73"/>
        <v>0.0000352394368190873i</v>
      </c>
      <c r="AH109" s="98">
        <f t="shared" si="88"/>
        <v>3.5239436819087303E-5</v>
      </c>
      <c r="AI109" s="98">
        <f t="shared" si="89"/>
        <v>1.5707963267948966</v>
      </c>
      <c r="AJ109" s="98" t="str">
        <f t="shared" si="74"/>
        <v>1+0.00503314787586209i</v>
      </c>
      <c r="AK109" s="98">
        <f t="shared" si="90"/>
        <v>1.0000126662085538</v>
      </c>
      <c r="AL109" s="98">
        <f t="shared" si="91"/>
        <v>5.03310537563846E-3</v>
      </c>
      <c r="AM109" s="98" t="str">
        <f t="shared" si="75"/>
        <v>1+0.347287203434483i</v>
      </c>
      <c r="AN109" s="98">
        <f t="shared" si="92"/>
        <v>1.0585879281709876</v>
      </c>
      <c r="AO109" s="98">
        <f t="shared" si="93"/>
        <v>0.33425603287305639</v>
      </c>
      <c r="AP109" s="168" t="str">
        <f t="shared" si="94"/>
        <v>-0.355750889986695+1.04125201207161i</v>
      </c>
      <c r="AQ109" s="98">
        <f t="shared" si="95"/>
        <v>0.83059660299380056</v>
      </c>
      <c r="AR109" s="169">
        <f t="shared" si="96"/>
        <v>108.86308426454355</v>
      </c>
      <c r="AS109" s="168" t="str">
        <f t="shared" si="97"/>
        <v>40.3947470107211+60.9178303808916i</v>
      </c>
      <c r="AT109" s="190">
        <f t="shared" si="98"/>
        <v>37.277622228952382</v>
      </c>
      <c r="AU109" s="169">
        <f t="shared" si="99"/>
        <v>56.451554627855884</v>
      </c>
      <c r="AV109" s="225"/>
      <c r="AX109">
        <f t="shared" si="100"/>
        <v>0</v>
      </c>
      <c r="AY109">
        <f t="shared" si="101"/>
        <v>0</v>
      </c>
    </row>
    <row r="110" spans="14:51" x14ac:dyDescent="0.3">
      <c r="N110" s="170">
        <v>92</v>
      </c>
      <c r="O110" s="199">
        <f t="shared" si="76"/>
        <v>83.176377110267126</v>
      </c>
      <c r="P110" s="189" t="str">
        <f t="shared" si="67"/>
        <v>108.75</v>
      </c>
      <c r="Q110" s="160" t="str">
        <f t="shared" si="68"/>
        <v>1+1.32639075485057i</v>
      </c>
      <c r="R110" s="160">
        <f t="shared" si="77"/>
        <v>1.6611178268121334</v>
      </c>
      <c r="S110" s="160">
        <f t="shared" si="78"/>
        <v>0.9247875383004881</v>
      </c>
      <c r="T110" s="160" t="str">
        <f t="shared" si="69"/>
        <v>1+0.0000491255835129841i</v>
      </c>
      <c r="U110" s="160">
        <f t="shared" si="79"/>
        <v>1.0000000012066614</v>
      </c>
      <c r="V110" s="160">
        <f t="shared" si="80"/>
        <v>4.9125583473465467E-5</v>
      </c>
      <c r="W110" s="98" t="str">
        <f t="shared" si="70"/>
        <v>1-0.0003902174009542i</v>
      </c>
      <c r="X110" s="160">
        <f t="shared" si="81"/>
        <v>1.0000000761348071</v>
      </c>
      <c r="Y110" s="160">
        <f t="shared" si="82"/>
        <v>-3.902173811481167E-4</v>
      </c>
      <c r="Z110" s="98" t="str">
        <f t="shared" si="71"/>
        <v>0.999999860253812+0.000752692185479982i</v>
      </c>
      <c r="AA110" s="160">
        <f t="shared" si="83"/>
        <v>1.0000001435265746</v>
      </c>
      <c r="AB110" s="160">
        <f t="shared" si="84"/>
        <v>7.5269214852105235E-4</v>
      </c>
      <c r="AC110" s="171" t="str">
        <f t="shared" si="85"/>
        <v>39.3547876539085-52.31877547581i</v>
      </c>
      <c r="AD110" s="190">
        <f t="shared" si="86"/>
        <v>36.320575957148911</v>
      </c>
      <c r="AE110" s="169">
        <f t="shared" si="87"/>
        <v>-53.049092094727108</v>
      </c>
      <c r="AF110" s="98" t="str">
        <f t="shared" si="72"/>
        <v>-0.0000366300366300366</v>
      </c>
      <c r="AG110" s="98" t="str">
        <f t="shared" si="73"/>
        <v>0.0000360602687488925i</v>
      </c>
      <c r="AH110" s="98">
        <f t="shared" si="88"/>
        <v>3.6060268748892502E-5</v>
      </c>
      <c r="AI110" s="98">
        <f t="shared" si="89"/>
        <v>1.5707963267948966</v>
      </c>
      <c r="AJ110" s="98" t="str">
        <f t="shared" si="74"/>
        <v>1+0.00515038495048244i</v>
      </c>
      <c r="AK110" s="98">
        <f t="shared" si="90"/>
        <v>1.0000132631446137</v>
      </c>
      <c r="AL110" s="98">
        <f t="shared" si="91"/>
        <v>5.1503394107049643E-3</v>
      </c>
      <c r="AM110" s="98" t="str">
        <f t="shared" si="75"/>
        <v>1+0.355376561583288i</v>
      </c>
      <c r="AN110" s="98">
        <f t="shared" si="92"/>
        <v>1.0612692874679641</v>
      </c>
      <c r="AO110" s="98">
        <f t="shared" si="93"/>
        <v>0.34145657645624122</v>
      </c>
      <c r="AP110" s="168" t="str">
        <f t="shared" si="94"/>
        <v>-0.355750465271386+1.0176326854197i</v>
      </c>
      <c r="AQ110" s="98">
        <f t="shared" si="95"/>
        <v>0.65256459933609134</v>
      </c>
      <c r="AR110" s="169">
        <f t="shared" si="96"/>
        <v>109.26892800663536</v>
      </c>
      <c r="AS110" s="168" t="str">
        <f t="shared" si="97"/>
        <v>39.2408119667843+58.6611469623175i</v>
      </c>
      <c r="AT110" s="190">
        <f t="shared" si="98"/>
        <v>36.973140556484992</v>
      </c>
      <c r="AU110" s="169">
        <f t="shared" si="99"/>
        <v>56.219835911908248</v>
      </c>
      <c r="AV110" s="225"/>
      <c r="AX110">
        <f t="shared" si="100"/>
        <v>0</v>
      </c>
      <c r="AY110">
        <f t="shared" si="101"/>
        <v>0</v>
      </c>
    </row>
    <row r="111" spans="14:51" x14ac:dyDescent="0.3">
      <c r="N111" s="170">
        <v>93</v>
      </c>
      <c r="O111" s="199">
        <f t="shared" si="76"/>
        <v>85.113803820237734</v>
      </c>
      <c r="P111" s="189" t="str">
        <f t="shared" si="67"/>
        <v>108.75</v>
      </c>
      <c r="Q111" s="160" t="str">
        <f t="shared" si="68"/>
        <v>1+1.35728636446457i</v>
      </c>
      <c r="R111" s="160">
        <f t="shared" si="77"/>
        <v>1.6858903508714467</v>
      </c>
      <c r="S111" s="160">
        <f t="shared" si="78"/>
        <v>0.93582008603205691</v>
      </c>
      <c r="T111" s="160" t="str">
        <f t="shared" si="69"/>
        <v>1+0.0000502698653505396i</v>
      </c>
      <c r="U111" s="160">
        <f t="shared" si="79"/>
        <v>1.0000000012635297</v>
      </c>
      <c r="V111" s="160">
        <f t="shared" si="80"/>
        <v>5.0269865308194621E-5</v>
      </c>
      <c r="W111" s="98" t="str">
        <f t="shared" si="70"/>
        <v>1-0.000399306731862443i</v>
      </c>
      <c r="X111" s="160">
        <f t="shared" si="81"/>
        <v>1.0000000797229298</v>
      </c>
      <c r="Y111" s="160">
        <f t="shared" si="82"/>
        <v>-3.9930671063984242E-4</v>
      </c>
      <c r="Z111" s="98" t="str">
        <f t="shared" si="71"/>
        <v>0.999999853667777+0.000770224638746152i</v>
      </c>
      <c r="AA111" s="160">
        <f t="shared" si="83"/>
        <v>1.0000001502907736</v>
      </c>
      <c r="AB111" s="160">
        <f t="shared" si="84"/>
        <v>7.7022459914394563E-4</v>
      </c>
      <c r="AC111" s="171" t="str">
        <f t="shared" si="85"/>
        <v>38.2041067156368-51.9756327599204i</v>
      </c>
      <c r="AD111" s="190">
        <f t="shared" si="86"/>
        <v>36.191998210602357</v>
      </c>
      <c r="AE111" s="169">
        <f t="shared" si="87"/>
        <v>-53.682670270146744</v>
      </c>
      <c r="AF111" s="98" t="str">
        <f t="shared" si="72"/>
        <v>-0.0000366300366300366</v>
      </c>
      <c r="AG111" s="98" t="str">
        <f t="shared" si="73"/>
        <v>0.0000369002203105024i</v>
      </c>
      <c r="AH111" s="98">
        <f t="shared" si="88"/>
        <v>3.6900220310502401E-5</v>
      </c>
      <c r="AI111" s="98">
        <f t="shared" si="89"/>
        <v>1.5707963267948966</v>
      </c>
      <c r="AJ111" s="98" t="str">
        <f t="shared" si="74"/>
        <v>1+0.00527035282737695i</v>
      </c>
      <c r="AK111" s="98">
        <f t="shared" si="90"/>
        <v>1.0000138882130212</v>
      </c>
      <c r="AL111" s="98">
        <f t="shared" si="91"/>
        <v>5.2703040306628299E-3</v>
      </c>
      <c r="AM111" s="98" t="str">
        <f t="shared" si="75"/>
        <v>1+0.363654345089009i</v>
      </c>
      <c r="AN111" s="98">
        <f t="shared" si="92"/>
        <v>1.0640697734181326</v>
      </c>
      <c r="AO111" s="98">
        <f t="shared" si="93"/>
        <v>0.34878688492116866</v>
      </c>
      <c r="AP111" s="168" t="str">
        <f t="shared" si="94"/>
        <v>-0.355750020540948+0.994552920881322i</v>
      </c>
      <c r="AQ111" s="98">
        <f t="shared" si="95"/>
        <v>0.47544937755760708</v>
      </c>
      <c r="AR111" s="169">
        <f t="shared" si="96"/>
        <v>109.68205027779031</v>
      </c>
      <c r="AS111" s="168" t="str">
        <f t="shared" si="97"/>
        <v>38.1014056271974+56.4863383456688i</v>
      </c>
      <c r="AT111" s="190">
        <f t="shared" si="98"/>
        <v>36.667447588159959</v>
      </c>
      <c r="AU111" s="169">
        <f t="shared" si="99"/>
        <v>55.99938000764358</v>
      </c>
      <c r="AV111" s="225"/>
      <c r="AX111">
        <f t="shared" si="100"/>
        <v>0</v>
      </c>
      <c r="AY111">
        <f t="shared" si="101"/>
        <v>0</v>
      </c>
    </row>
    <row r="112" spans="14:51" x14ac:dyDescent="0.3">
      <c r="N112" s="170">
        <v>94</v>
      </c>
      <c r="O112" s="199">
        <f t="shared" si="76"/>
        <v>87.096358995608071</v>
      </c>
      <c r="P112" s="189" t="str">
        <f t="shared" si="67"/>
        <v>108.75</v>
      </c>
      <c r="Q112" s="160" t="str">
        <f t="shared" si="68"/>
        <v>1+1.38890162527481i</v>
      </c>
      <c r="R112" s="160">
        <f t="shared" si="77"/>
        <v>1.7114460916695591</v>
      </c>
      <c r="S112" s="160">
        <f t="shared" si="78"/>
        <v>0.94677762214702965</v>
      </c>
      <c r="T112" s="160" t="str">
        <f t="shared" si="69"/>
        <v>1+0.0000514408009361042i</v>
      </c>
      <c r="U112" s="160">
        <f t="shared" si="79"/>
        <v>1.0000000013230779</v>
      </c>
      <c r="V112" s="160">
        <f t="shared" si="80"/>
        <v>5.1440800890730737E-5</v>
      </c>
      <c r="W112" s="98" t="str">
        <f t="shared" si="70"/>
        <v>1-0.000408607780485367i</v>
      </c>
      <c r="X112" s="160">
        <f t="shared" si="81"/>
        <v>1.0000000834801557</v>
      </c>
      <c r="Y112" s="160">
        <f t="shared" si="82"/>
        <v>-4.0860775774494092E-4</v>
      </c>
      <c r="Z112" s="98" t="str">
        <f t="shared" si="71"/>
        <v>0.999999846771352+0.000788165475310911i</v>
      </c>
      <c r="AA112" s="160">
        <f t="shared" si="83"/>
        <v>1.0000001573737596</v>
      </c>
      <c r="AB112" s="160">
        <f t="shared" si="84"/>
        <v>7.8816543287638238E-4</v>
      </c>
      <c r="AC112" s="171" t="str">
        <f t="shared" si="85"/>
        <v>37.0690191953117-51.6097758688241i</v>
      </c>
      <c r="AD112" s="190">
        <f t="shared" si="86"/>
        <v>36.061320202656589</v>
      </c>
      <c r="AE112" s="169">
        <f t="shared" si="87"/>
        <v>-54.311984598527737</v>
      </c>
      <c r="AF112" s="98" t="str">
        <f t="shared" si="72"/>
        <v>-0.0000366300366300366</v>
      </c>
      <c r="AG112" s="98" t="str">
        <f t="shared" si="73"/>
        <v>0.000037759736857353i</v>
      </c>
      <c r="AH112" s="98">
        <f t="shared" si="88"/>
        <v>3.7759736857353002E-5</v>
      </c>
      <c r="AI112" s="98">
        <f t="shared" si="89"/>
        <v>1.5707963267948966</v>
      </c>
      <c r="AJ112" s="98" t="str">
        <f t="shared" si="74"/>
        <v>1+0.00539311511510188i</v>
      </c>
      <c r="AK112" s="98">
        <f t="shared" si="90"/>
        <v>1.0000145427395766</v>
      </c>
      <c r="AL112" s="98">
        <f t="shared" si="91"/>
        <v>5.3930628285217353E-3</v>
      </c>
      <c r="AM112" s="98" t="str">
        <f t="shared" si="75"/>
        <v>1+0.372124942942029i</v>
      </c>
      <c r="AN112" s="98">
        <f t="shared" si="92"/>
        <v>1.066994364164876</v>
      </c>
      <c r="AO112" s="98">
        <f t="shared" si="93"/>
        <v>0.35624769287076891</v>
      </c>
      <c r="AP112" s="168" t="str">
        <f t="shared" si="94"/>
        <v>-0.355749554852202+0.972000481245084i</v>
      </c>
      <c r="AQ112" s="98">
        <f t="shared" si="95"/>
        <v>0.29928407154339443</v>
      </c>
      <c r="AR112" s="169">
        <f t="shared" si="96"/>
        <v>110.1024895240447</v>
      </c>
      <c r="AS112" s="168" t="str">
        <f t="shared" si="97"/>
        <v>36.9774399039081+54.3912592884823i</v>
      </c>
      <c r="AT112" s="190">
        <f t="shared" si="98"/>
        <v>36.360604274199979</v>
      </c>
      <c r="AU112" s="169">
        <f t="shared" si="99"/>
        <v>55.790504925516942</v>
      </c>
      <c r="AV112" s="225"/>
      <c r="AX112">
        <f t="shared" si="100"/>
        <v>0</v>
      </c>
      <c r="AY112">
        <f t="shared" si="101"/>
        <v>0</v>
      </c>
    </row>
    <row r="113" spans="14:51" x14ac:dyDescent="0.3">
      <c r="N113" s="170">
        <v>95</v>
      </c>
      <c r="O113" s="199">
        <f t="shared" si="76"/>
        <v>89.125093813374562</v>
      </c>
      <c r="P113" s="189" t="str">
        <f t="shared" si="67"/>
        <v>108.75</v>
      </c>
      <c r="Q113" s="160" t="str">
        <f t="shared" si="68"/>
        <v>1+1.42125330011106i</v>
      </c>
      <c r="R113" s="160">
        <f t="shared" si="77"/>
        <v>1.7378034822949859</v>
      </c>
      <c r="S113" s="160">
        <f t="shared" si="78"/>
        <v>0.95765543158923949</v>
      </c>
      <c r="T113" s="160" t="str">
        <f t="shared" si="69"/>
        <v>1+0.0000526390111152246i</v>
      </c>
      <c r="U113" s="160">
        <f t="shared" si="79"/>
        <v>1.0000000013854327</v>
      </c>
      <c r="V113" s="160">
        <f t="shared" si="80"/>
        <v>5.2639011066606062E-5</v>
      </c>
      <c r="W113" s="98" t="str">
        <f t="shared" si="70"/>
        <v>1-0.000418125478362068i</v>
      </c>
      <c r="X113" s="160">
        <f t="shared" si="81"/>
        <v>1.0000000874144539</v>
      </c>
      <c r="Y113" s="160">
        <f t="shared" si="82"/>
        <v>-4.1812545399526254E-4</v>
      </c>
      <c r="Z113" s="98" t="str">
        <f t="shared" si="71"/>
        <v>0.999999839549908+0.000806524207643285i</v>
      </c>
      <c r="AA113" s="160">
        <f t="shared" si="83"/>
        <v>1.0000001647905559</v>
      </c>
      <c r="AB113" s="160">
        <f t="shared" si="84"/>
        <v>8.0652416217386882E-4</v>
      </c>
      <c r="AC113" s="171" t="str">
        <f t="shared" si="85"/>
        <v>35.9503886537608-51.222064628873i</v>
      </c>
      <c r="AD113" s="190">
        <f t="shared" si="86"/>
        <v>35.928571389524798</v>
      </c>
      <c r="AE113" s="169">
        <f t="shared" si="87"/>
        <v>-54.936765719059693</v>
      </c>
      <c r="AF113" s="98" t="str">
        <f t="shared" si="72"/>
        <v>-0.0000366300366300366</v>
      </c>
      <c r="AG113" s="98" t="str">
        <f t="shared" si="73"/>
        <v>0.0000386392741164946i</v>
      </c>
      <c r="AH113" s="98">
        <f t="shared" si="88"/>
        <v>3.86392741164946E-5</v>
      </c>
      <c r="AI113" s="98">
        <f t="shared" si="89"/>
        <v>1.5707963267948966</v>
      </c>
      <c r="AJ113" s="98" t="str">
        <f t="shared" si="74"/>
        <v>1+0.00551873690384717i</v>
      </c>
      <c r="AK113" s="98">
        <f t="shared" si="90"/>
        <v>1.0000152281125592</v>
      </c>
      <c r="AL113" s="98">
        <f t="shared" si="91"/>
        <v>5.5186808778132177E-3</v>
      </c>
      <c r="AM113" s="98" t="str">
        <f t="shared" si="75"/>
        <v>1+0.380792846365453i</v>
      </c>
      <c r="AN113" s="98">
        <f t="shared" si="92"/>
        <v>1.0700482194009313</v>
      </c>
      <c r="AO113" s="98">
        <f t="shared" si="93"/>
        <v>0.36383963277398396</v>
      </c>
      <c r="AP113" s="168" t="str">
        <f t="shared" si="94"/>
        <v>-0.355749067217527+0.949963408893168i</v>
      </c>
      <c r="AQ113" s="98">
        <f t="shared" si="95"/>
        <v>0.12410258187056782</v>
      </c>
      <c r="AR113" s="169">
        <f t="shared" si="96"/>
        <v>110.53027825476073</v>
      </c>
      <c r="AS113" s="168" t="str">
        <f t="shared" si="97"/>
        <v>35.8697698957074+52.3737554692383i</v>
      </c>
      <c r="AT113" s="190">
        <f t="shared" si="98"/>
        <v>36.052673971395365</v>
      </c>
      <c r="AU113" s="169">
        <f t="shared" si="99"/>
        <v>55.593512535701024</v>
      </c>
      <c r="AV113" s="225"/>
      <c r="AX113">
        <f t="shared" si="100"/>
        <v>0</v>
      </c>
      <c r="AY113">
        <f t="shared" si="101"/>
        <v>0</v>
      </c>
    </row>
    <row r="114" spans="14:51" x14ac:dyDescent="0.3">
      <c r="N114" s="170">
        <v>96</v>
      </c>
      <c r="O114" s="199">
        <f t="shared" si="76"/>
        <v>91.201083935590972</v>
      </c>
      <c r="P114" s="189" t="str">
        <f t="shared" si="67"/>
        <v>108.75</v>
      </c>
      <c r="Q114" s="160" t="str">
        <f t="shared" si="68"/>
        <v>1+1.45435854225954i</v>
      </c>
      <c r="R114" s="160">
        <f t="shared" si="77"/>
        <v>1.7649812377029095</v>
      </c>
      <c r="S114" s="160">
        <f t="shared" si="78"/>
        <v>0.96844898500948373</v>
      </c>
      <c r="T114" s="160" t="str">
        <f t="shared" si="69"/>
        <v>1+0.0000538651311947981i</v>
      </c>
      <c r="U114" s="160">
        <f t="shared" si="79"/>
        <v>1.0000000014507262</v>
      </c>
      <c r="V114" s="160">
        <f t="shared" si="80"/>
        <v>5.3865131142702397E-5</v>
      </c>
      <c r="W114" s="98" t="str">
        <f t="shared" si="70"/>
        <v>1-0.000427864871901943i</v>
      </c>
      <c r="X114" s="160">
        <f t="shared" si="81"/>
        <v>1.0000000915341702</v>
      </c>
      <c r="Y114" s="160">
        <f t="shared" si="82"/>
        <v>-4.2786484579244066E-4</v>
      </c>
      <c r="Z114" s="98" t="str">
        <f t="shared" si="71"/>
        <v>0.999999831988129+0.000825310569786161i</v>
      </c>
      <c r="AA114" s="160">
        <f t="shared" si="83"/>
        <v>1.0000001725568965</v>
      </c>
      <c r="AB114" s="160">
        <f t="shared" si="84"/>
        <v>8.2531052106480317E-4</v>
      </c>
      <c r="AC114" s="171" t="str">
        <f t="shared" si="85"/>
        <v>34.8490194356609-50.8133940521121i</v>
      </c>
      <c r="AD114" s="190">
        <f t="shared" si="86"/>
        <v>35.793782760108847</v>
      </c>
      <c r="AE114" s="169">
        <f t="shared" si="87"/>
        <v>-55.55675492960512</v>
      </c>
      <c r="AF114" s="98" t="str">
        <f t="shared" si="72"/>
        <v>-0.0000366300366300366</v>
      </c>
      <c r="AG114" s="98" t="str">
        <f t="shared" si="73"/>
        <v>0.0000395392984302241i</v>
      </c>
      <c r="AH114" s="98">
        <f t="shared" si="88"/>
        <v>3.9539298430224098E-5</v>
      </c>
      <c r="AI114" s="98">
        <f t="shared" si="89"/>
        <v>1.5707963267948966</v>
      </c>
      <c r="AJ114" s="98" t="str">
        <f t="shared" si="74"/>
        <v>1+0.00564728479994799i</v>
      </c>
      <c r="AK114" s="98">
        <f t="shared" si="90"/>
        <v>1.0000159457856719</v>
      </c>
      <c r="AL114" s="98">
        <f t="shared" si="91"/>
        <v>5.6472247670227146E-3</v>
      </c>
      <c r="AM114" s="98" t="str">
        <f t="shared" si="75"/>
        <v>1+0.38966265119641i</v>
      </c>
      <c r="AN114" s="98">
        <f t="shared" si="92"/>
        <v>1.0732366848637886</v>
      </c>
      <c r="AO114" s="98">
        <f t="shared" si="93"/>
        <v>0.3715632283295553</v>
      </c>
      <c r="AP114" s="168" t="str">
        <f t="shared" si="94"/>
        <v>-0.355748556602772+0.928430019461179i</v>
      </c>
      <c r="AQ114" s="98">
        <f t="shared" si="95"/>
        <v>-5.0060442949204122E-2</v>
      </c>
      <c r="AR114" s="169">
        <f t="shared" si="96"/>
        <v>110.96544266042712</v>
      </c>
      <c r="AS114" s="168" t="str">
        <f t="shared" si="97"/>
        <v>34.7791920654327+50.4316673829804i</v>
      </c>
      <c r="AT114" s="190">
        <f t="shared" si="98"/>
        <v>35.743722317159637</v>
      </c>
      <c r="AU114" s="169">
        <f t="shared" si="99"/>
        <v>55.408687730821974</v>
      </c>
      <c r="AV114" s="225"/>
      <c r="AX114">
        <f t="shared" si="100"/>
        <v>0</v>
      </c>
      <c r="AY114">
        <f t="shared" si="101"/>
        <v>0</v>
      </c>
    </row>
    <row r="115" spans="14:51" x14ac:dyDescent="0.3">
      <c r="N115" s="170">
        <v>97</v>
      </c>
      <c r="O115" s="199">
        <f t="shared" si="76"/>
        <v>93.325430079699174</v>
      </c>
      <c r="P115" s="189" t="str">
        <f t="shared" si="67"/>
        <v>108.75</v>
      </c>
      <c r="Q115" s="160" t="str">
        <f t="shared" si="68"/>
        <v>1+1.48823490455785i</v>
      </c>
      <c r="R115" s="160">
        <f t="shared" si="77"/>
        <v>1.7929983633969981</v>
      </c>
      <c r="S115" s="160">
        <f t="shared" si="78"/>
        <v>0.9791539457142161</v>
      </c>
      <c r="T115" s="160" t="str">
        <f t="shared" si="69"/>
        <v>1+0.0000551198112799204i</v>
      </c>
      <c r="U115" s="160">
        <f t="shared" si="79"/>
        <v>1.0000000015190968</v>
      </c>
      <c r="V115" s="160">
        <f t="shared" si="80"/>
        <v>5.5119811224098847E-5</v>
      </c>
      <c r="W115" s="98" t="str">
        <f t="shared" si="70"/>
        <v>1-0.000437831125060361i</v>
      </c>
      <c r="X115" s="160">
        <f t="shared" si="81"/>
        <v>1.0000000958480424</v>
      </c>
      <c r="Y115" s="160">
        <f t="shared" si="82"/>
        <v>-4.3783109708352537E-4</v>
      </c>
      <c r="Z115" s="98" t="str">
        <f t="shared" si="71"/>
        <v>0.999999824069973+0.000844534522517417i</v>
      </c>
      <c r="AA115" s="160">
        <f t="shared" si="83"/>
        <v>1.000000180689252</v>
      </c>
      <c r="AB115" s="160">
        <f t="shared" si="84"/>
        <v>8.4453447031154229E-4</v>
      </c>
      <c r="AC115" s="171" t="str">
        <f t="shared" si="85"/>
        <v>33.7656552502607-50.384689650066i</v>
      </c>
      <c r="AD115" s="190">
        <f t="shared" si="86"/>
        <v>35.656986725817333</v>
      </c>
      <c r="AE115" s="169">
        <f t="shared" si="87"/>
        <v>-56.17170458526023</v>
      </c>
      <c r="AF115" s="98" t="str">
        <f t="shared" si="72"/>
        <v>-0.0000366300366300366</v>
      </c>
      <c r="AG115" s="98" t="str">
        <f t="shared" si="73"/>
        <v>0.0000404602870033457i</v>
      </c>
      <c r="AH115" s="98">
        <f t="shared" si="88"/>
        <v>4.0460287003345699E-5</v>
      </c>
      <c r="AI115" s="98">
        <f t="shared" si="89"/>
        <v>1.5707963267948966</v>
      </c>
      <c r="AJ115" s="98" t="str">
        <f t="shared" si="74"/>
        <v>1+0.00577882696120041i</v>
      </c>
      <c r="AK115" s="98">
        <f t="shared" si="90"/>
        <v>1.0000166972811242</v>
      </c>
      <c r="AL115" s="98">
        <f t="shared" si="91"/>
        <v>5.7787626348200366E-3</v>
      </c>
      <c r="AM115" s="98" t="str">
        <f t="shared" si="75"/>
        <v>1+0.398739060322827i</v>
      </c>
      <c r="AN115" s="98">
        <f t="shared" si="92"/>
        <v>1.0765652967781987</v>
      </c>
      <c r="AO115" s="98">
        <f t="shared" si="93"/>
        <v>0.37941888773003657</v>
      </c>
      <c r="AP115" s="168" t="str">
        <f t="shared" si="94"/>
        <v>-0.355748021925056+0.907388895642871i</v>
      </c>
      <c r="AQ115" s="98">
        <f t="shared" si="95"/>
        <v>-0.22316962892445091</v>
      </c>
      <c r="AR115" s="169">
        <f t="shared" si="96"/>
        <v>111.40800222469602</v>
      </c>
      <c r="AS115" s="168" t="str">
        <f t="shared" si="97"/>
        <v>33.7064428345986+48.5628343065108i</v>
      </c>
      <c r="AT115" s="190">
        <f t="shared" si="98"/>
        <v>35.433817096892895</v>
      </c>
      <c r="AU115" s="169">
        <f t="shared" si="99"/>
        <v>55.236297639435783</v>
      </c>
      <c r="AV115" s="225"/>
      <c r="AX115">
        <f t="shared" si="100"/>
        <v>0</v>
      </c>
      <c r="AY115">
        <f t="shared" si="101"/>
        <v>0</v>
      </c>
    </row>
    <row r="116" spans="14:51" x14ac:dyDescent="0.3">
      <c r="N116" s="170">
        <v>98</v>
      </c>
      <c r="O116" s="199">
        <f t="shared" si="76"/>
        <v>95.499258602143655</v>
      </c>
      <c r="P116" s="189" t="str">
        <f t="shared" si="67"/>
        <v>108.75</v>
      </c>
      <c r="Q116" s="160" t="str">
        <f t="shared" si="68"/>
        <v>1+1.52290034870166i</v>
      </c>
      <c r="R116" s="160">
        <f t="shared" si="77"/>
        <v>1.8218741647203953</v>
      </c>
      <c r="S116" s="160">
        <f t="shared" si="78"/>
        <v>0.98976617562074998</v>
      </c>
      <c r="T116" s="160" t="str">
        <f t="shared" si="69"/>
        <v>1+0.0000564037166185802i</v>
      </c>
      <c r="U116" s="160">
        <f t="shared" si="79"/>
        <v>1.0000000015906896</v>
      </c>
      <c r="V116" s="160">
        <f t="shared" si="80"/>
        <v>5.6403716558766331E-5</v>
      </c>
      <c r="W116" s="98" t="str">
        <f t="shared" si="70"/>
        <v>1-0.000448029522076666i</v>
      </c>
      <c r="X116" s="160">
        <f t="shared" si="81"/>
        <v>1.0000001003652212</v>
      </c>
      <c r="Y116" s="160">
        <f t="shared" si="82"/>
        <v>-4.4802949209894668E-4</v>
      </c>
      <c r="Z116" s="98" t="str">
        <f t="shared" si="71"/>
        <v>0.999999815778646+0.000864206258631245i</v>
      </c>
      <c r="AA116" s="160">
        <f t="shared" si="83"/>
        <v>1.0000001892048738</v>
      </c>
      <c r="AB116" s="160">
        <f t="shared" si="84"/>
        <v>8.6420620269164283E-4</v>
      </c>
      <c r="AC116" s="171" t="str">
        <f t="shared" si="85"/>
        <v>32.7009781680874-49.9369027348846i</v>
      </c>
      <c r="AD116" s="190">
        <f t="shared" si="86"/>
        <v>35.518217008159098</v>
      </c>
      <c r="AE116" s="169">
        <f t="shared" si="87"/>
        <v>-56.781378440003529</v>
      </c>
      <c r="AF116" s="98" t="str">
        <f t="shared" si="72"/>
        <v>-0.0000366300366300366</v>
      </c>
      <c r="AG116" s="98" t="str">
        <f t="shared" si="73"/>
        <v>0.0000414027281561918i</v>
      </c>
      <c r="AH116" s="98">
        <f t="shared" si="88"/>
        <v>4.1402728156191797E-5</v>
      </c>
      <c r="AI116" s="98">
        <f t="shared" si="89"/>
        <v>1.5707963267948966</v>
      </c>
      <c r="AJ116" s="98" t="str">
        <f t="shared" si="74"/>
        <v>1+0.00591343313299946i</v>
      </c>
      <c r="AK116" s="98">
        <f t="shared" si="90"/>
        <v>1.0000174841928609</v>
      </c>
      <c r="AL116" s="98">
        <f t="shared" si="91"/>
        <v>5.9133642061061399E-3</v>
      </c>
      <c r="AM116" s="98" t="str">
        <f t="shared" si="75"/>
        <v>1+0.408026886176962i</v>
      </c>
      <c r="AN116" s="98">
        <f t="shared" si="92"/>
        <v>1.0800397862316311</v>
      </c>
      <c r="AO116" s="98">
        <f t="shared" si="93"/>
        <v>0.3874068968503675</v>
      </c>
      <c r="AP116" s="168" t="str">
        <f t="shared" si="94"/>
        <v>-0.355747462050477+0.886828881136443i</v>
      </c>
      <c r="AQ116" s="98">
        <f t="shared" si="95"/>
        <v>-0.39518890293310927</v>
      </c>
      <c r="AR116" s="169">
        <f t="shared" si="96"/>
        <v>111.85796933205241</v>
      </c>
      <c r="AS116" s="168" t="str">
        <f t="shared" si="97"/>
        <v>32.6521975899319+46.7650982914689i</v>
      </c>
      <c r="AT116" s="190">
        <f t="shared" si="98"/>
        <v>35.123028105225977</v>
      </c>
      <c r="AU116" s="169">
        <f t="shared" si="99"/>
        <v>55.076590892048891</v>
      </c>
      <c r="AV116" s="225"/>
      <c r="AX116">
        <f t="shared" si="100"/>
        <v>0</v>
      </c>
      <c r="AY116">
        <f t="shared" si="101"/>
        <v>0</v>
      </c>
    </row>
    <row r="117" spans="14:51" x14ac:dyDescent="0.3">
      <c r="N117" s="170">
        <v>99</v>
      </c>
      <c r="O117" s="199">
        <f t="shared" si="76"/>
        <v>97.723722095581124</v>
      </c>
      <c r="P117" s="189" t="str">
        <f t="shared" si="67"/>
        <v>108.75</v>
      </c>
      <c r="Q117" s="160" t="str">
        <f t="shared" si="68"/>
        <v>1+1.55837325476833i</v>
      </c>
      <c r="R117" s="160">
        <f t="shared" si="77"/>
        <v>1.8516282567451918</v>
      </c>
      <c r="S117" s="160">
        <f t="shared" si="78"/>
        <v>1.0002817402206254</v>
      </c>
      <c r="T117" s="160" t="str">
        <f t="shared" si="69"/>
        <v>1+0.0000577175279543826i</v>
      </c>
      <c r="U117" s="160">
        <f t="shared" si="79"/>
        <v>1.0000000016656565</v>
      </c>
      <c r="V117" s="160">
        <f t="shared" si="80"/>
        <v>5.7717527890290884E-5</v>
      </c>
      <c r="W117" s="98" t="str">
        <f t="shared" si="70"/>
        <v>1-0.000458465470275947i</v>
      </c>
      <c r="X117" s="160">
        <f t="shared" si="81"/>
        <v>1.0000001050952882</v>
      </c>
      <c r="Y117" s="160">
        <f t="shared" si="82"/>
        <v>-4.5846543815424224E-4</v>
      </c>
      <c r="Z117" s="98" t="str">
        <f t="shared" si="71"/>
        <v>0.999999807096561+0.000884336208342521i</v>
      </c>
      <c r="AA117" s="160">
        <f t="shared" si="83"/>
        <v>1.0000001981218247</v>
      </c>
      <c r="AB117" s="160">
        <f t="shared" si="84"/>
        <v>8.8433614840215786E-4</v>
      </c>
      <c r="AC117" s="171" t="str">
        <f t="shared" si="85"/>
        <v>31.6556080236995-49.4710057477094i</v>
      </c>
      <c r="AD117" s="190">
        <f t="shared" si="86"/>
        <v>35.377508524867892</v>
      </c>
      <c r="AE117" s="169">
        <f t="shared" si="87"/>
        <v>-57.38555193152434</v>
      </c>
      <c r="AF117" s="98" t="str">
        <f t="shared" si="72"/>
        <v>-0.0000366300366300366</v>
      </c>
      <c r="AG117" s="98" t="str">
        <f t="shared" si="73"/>
        <v>0.0000423671215835361i</v>
      </c>
      <c r="AH117" s="98">
        <f t="shared" si="88"/>
        <v>4.2367121583536102E-5</v>
      </c>
      <c r="AI117" s="98">
        <f t="shared" si="89"/>
        <v>1.5707963267948966</v>
      </c>
      <c r="AJ117" s="98" t="str">
        <f t="shared" si="74"/>
        <v>1+0.00605117468531917i</v>
      </c>
      <c r="AK117" s="98">
        <f t="shared" si="90"/>
        <v>1.0000183081899412</v>
      </c>
      <c r="AL117" s="98">
        <f t="shared" si="91"/>
        <v>6.0511008288953562E-3</v>
      </c>
      <c r="AM117" s="98" t="str">
        <f t="shared" si="75"/>
        <v>1+0.417531053287021i</v>
      </c>
      <c r="AN117" s="98">
        <f t="shared" si="92"/>
        <v>1.0836660834680438</v>
      </c>
      <c r="AO117" s="98">
        <f t="shared" si="93"/>
        <v>0.39552741238819322</v>
      </c>
      <c r="AP117" s="168" t="str">
        <f t="shared" si="94"/>
        <v>-0.355746875791711+0.866739074729223i</v>
      </c>
      <c r="AQ117" s="98">
        <f t="shared" si="95"/>
        <v>-0.56608152315524529</v>
      </c>
      <c r="AR117" s="169">
        <f t="shared" si="96"/>
        <v>112.31534887267007</v>
      </c>
      <c r="AS117" s="168" t="str">
        <f t="shared" si="97"/>
        <v>31.6170700919756+45.0363081454737i</v>
      </c>
      <c r="AT117" s="190">
        <f t="shared" si="98"/>
        <v>34.811427001712651</v>
      </c>
      <c r="AU117" s="169">
        <f t="shared" si="99"/>
        <v>54.92979694114576</v>
      </c>
      <c r="AV117" s="225"/>
      <c r="AX117">
        <f t="shared" si="100"/>
        <v>0</v>
      </c>
      <c r="AY117">
        <f t="shared" si="101"/>
        <v>0</v>
      </c>
    </row>
    <row r="118" spans="14:51" x14ac:dyDescent="0.3">
      <c r="N118" s="170">
        <v>100</v>
      </c>
      <c r="O118" s="199">
        <f t="shared" si="76"/>
        <v>100</v>
      </c>
      <c r="P118" s="189" t="str">
        <f t="shared" si="67"/>
        <v>108.75</v>
      </c>
      <c r="Q118" s="160" t="str">
        <f t="shared" si="68"/>
        <v>1+1.59467243096218i</v>
      </c>
      <c r="R118" s="160">
        <f t="shared" si="77"/>
        <v>1.8822805747472477</v>
      </c>
      <c r="S118" s="160">
        <f t="shared" si="78"/>
        <v>1.0106969125608116</v>
      </c>
      <c r="T118" s="160" t="str">
        <f t="shared" si="69"/>
        <v>1+0.0000590619418874883i</v>
      </c>
      <c r="U118" s="160">
        <f t="shared" si="79"/>
        <v>1.0000000017441564</v>
      </c>
      <c r="V118" s="160">
        <f t="shared" si="80"/>
        <v>5.9061941818812788E-5</v>
      </c>
      <c r="W118" s="98" t="str">
        <f t="shared" si="70"/>
        <v>1-0.000469144502936078i</v>
      </c>
      <c r="X118" s="160">
        <f t="shared" si="81"/>
        <v>1.0000001100482763</v>
      </c>
      <c r="Y118" s="160">
        <f t="shared" si="82"/>
        <v>-4.6914446851705139E-4</v>
      </c>
      <c r="Z118" s="98" t="str">
        <f t="shared" si="71"/>
        <v>0.999999798005302+0.000904935044817035i</v>
      </c>
      <c r="AA118" s="160">
        <f t="shared" si="83"/>
        <v>1.0000002074590186</v>
      </c>
      <c r="AB118" s="160">
        <f t="shared" si="84"/>
        <v>9.0493498058977911E-4</v>
      </c>
      <c r="AC118" s="171" t="str">
        <f t="shared" si="85"/>
        <v>30.6301022105723-48.9879876517733i</v>
      </c>
      <c r="AD118" s="190">
        <f t="shared" si="86"/>
        <v>35.234897275292539</v>
      </c>
      <c r="AE118" s="169">
        <f t="shared" si="87"/>
        <v>-57.984012409790772</v>
      </c>
      <c r="AF118" s="98" t="str">
        <f t="shared" si="72"/>
        <v>-0.0000366300366300366</v>
      </c>
      <c r="AG118" s="98" t="str">
        <f t="shared" si="73"/>
        <v>0.0000433539786195391i</v>
      </c>
      <c r="AH118" s="98">
        <f t="shared" si="88"/>
        <v>4.33539786195391E-5</v>
      </c>
      <c r="AI118" s="98">
        <f t="shared" si="89"/>
        <v>1.5707963267948966</v>
      </c>
      <c r="AJ118" s="98" t="str">
        <f t="shared" si="74"/>
        <v>1+0.00619212465055381i</v>
      </c>
      <c r="AK118" s="98">
        <f t="shared" si="90"/>
        <v>1.0000191710200799</v>
      </c>
      <c r="AL118" s="98">
        <f t="shared" si="91"/>
        <v>6.1920455120518161E-3</v>
      </c>
      <c r="AM118" s="98" t="str">
        <f t="shared" si="75"/>
        <v>1+0.427256600888211i</v>
      </c>
      <c r="AN118" s="98">
        <f t="shared" si="92"/>
        <v>1.0874503220848979</v>
      </c>
      <c r="AO118" s="98">
        <f t="shared" si="93"/>
        <v>0.4037804549860064</v>
      </c>
      <c r="AP118" s="168" t="str">
        <f t="shared" si="94"/>
        <v>-0.355746261905494+0.847108824517618i</v>
      </c>
      <c r="AQ118" s="98">
        <f t="shared" si="95"/>
        <v>-0.73581011376803829</v>
      </c>
      <c r="AR118" s="169">
        <f t="shared" si="96"/>
        <v>112.78013784617681</v>
      </c>
      <c r="AS118" s="168" t="str">
        <f t="shared" si="97"/>
        <v>30.601612271983+43.3743233638432i</v>
      </c>
      <c r="AT118" s="190">
        <f t="shared" si="98"/>
        <v>34.4990871615245</v>
      </c>
      <c r="AU118" s="169">
        <f t="shared" si="99"/>
        <v>54.796125436385999</v>
      </c>
      <c r="AV118" s="225"/>
      <c r="AX118">
        <f t="shared" si="100"/>
        <v>0</v>
      </c>
      <c r="AY118">
        <f t="shared" si="101"/>
        <v>0</v>
      </c>
    </row>
    <row r="119" spans="14:51" x14ac:dyDescent="0.3">
      <c r="N119" s="170">
        <v>1</v>
      </c>
      <c r="O119" s="199">
        <f>10^(2+(N119/100))</f>
        <v>102.32929922807544</v>
      </c>
      <c r="P119" s="189" t="str">
        <f t="shared" si="67"/>
        <v>108.75</v>
      </c>
      <c r="Q119" s="160" t="str">
        <f t="shared" si="68"/>
        <v>1+1.63181712358691i</v>
      </c>
      <c r="R119" s="160">
        <f t="shared" si="77"/>
        <v>1.9138513852521193</v>
      </c>
      <c r="S119" s="160">
        <f t="shared" si="78"/>
        <v>1.021008176260269</v>
      </c>
      <c r="T119" s="160" t="str">
        <f t="shared" si="69"/>
        <v>1+0.0000604376712439599i</v>
      </c>
      <c r="U119" s="160">
        <f t="shared" si="79"/>
        <v>1.000000001826356</v>
      </c>
      <c r="V119" s="160">
        <f t="shared" si="80"/>
        <v>6.0437671170372762E-5</v>
      </c>
      <c r="W119" s="98" t="str">
        <f t="shared" si="70"/>
        <v>1-0.000480072282221526i</v>
      </c>
      <c r="X119" s="160">
        <f t="shared" si="81"/>
        <v>1.0000001152346916</v>
      </c>
      <c r="Y119" s="160">
        <f t="shared" si="82"/>
        <v>-4.8007224534087474E-4</v>
      </c>
      <c r="Z119" s="98" t="str">
        <f t="shared" si="71"/>
        <v>0.999999788485586+0.000926013689830542i</v>
      </c>
      <c r="AA119" s="160">
        <f t="shared" si="83"/>
        <v>1.0000002172362619</v>
      </c>
      <c r="AB119" s="160">
        <f t="shared" si="84"/>
        <v>9.2601362100979713E-4</v>
      </c>
      <c r="AC119" s="171" t="str">
        <f t="shared" si="85"/>
        <v>29.624955850654-48.4888494250053i</v>
      </c>
      <c r="AD119" s="190">
        <f t="shared" si="86"/>
        <v>35.090420225756837</v>
      </c>
      <c r="AE119" s="169">
        <f t="shared" si="87"/>
        <v>-58.576559310355904</v>
      </c>
      <c r="AF119" s="98" t="str">
        <f t="shared" si="72"/>
        <v>-0.0000366300366300366</v>
      </c>
      <c r="AG119" s="98" t="str">
        <f t="shared" si="73"/>
        <v>0.0000443638225088641i</v>
      </c>
      <c r="AH119" s="98">
        <f t="shared" si="88"/>
        <v>4.43638225088641E-5</v>
      </c>
      <c r="AI119" s="98">
        <f t="shared" si="89"/>
        <v>1.5707963267948966</v>
      </c>
      <c r="AJ119" s="98" t="str">
        <f t="shared" si="74"/>
        <v>1+0.00633635776224062i</v>
      </c>
      <c r="AK119" s="98">
        <f t="shared" si="90"/>
        <v>1.0000200745133525</v>
      </c>
      <c r="AL119" s="98">
        <f t="shared" si="91"/>
        <v>6.3362729638998831E-3</v>
      </c>
      <c r="AM119" s="98" t="str">
        <f t="shared" si="75"/>
        <v>1+0.437208685594602i</v>
      </c>
      <c r="AN119" s="98">
        <f t="shared" si="92"/>
        <v>1.0913988431180233</v>
      </c>
      <c r="AO119" s="98">
        <f t="shared" si="93"/>
        <v>0.41216590236811201</v>
      </c>
      <c r="AP119" s="168" t="str">
        <f t="shared" si="94"/>
        <v>-0.355745619089979+0.827927722259205i</v>
      </c>
      <c r="AQ119" s="98">
        <f t="shared" si="95"/>
        <v>-0.90433670406917566</v>
      </c>
      <c r="AR119" s="169">
        <f t="shared" si="96"/>
        <v>113.25232496621959</v>
      </c>
      <c r="AS119" s="168" t="str">
        <f t="shared" si="97"/>
        <v>29.60631439981+41.7770179771208i</v>
      </c>
      <c r="AT119" s="190">
        <f t="shared" si="98"/>
        <v>34.186083521687671</v>
      </c>
      <c r="AU119" s="169">
        <f t="shared" si="99"/>
        <v>54.675765655863721</v>
      </c>
      <c r="AV119" s="225"/>
      <c r="AX119">
        <f t="shared" si="100"/>
        <v>0</v>
      </c>
      <c r="AY119">
        <f t="shared" si="101"/>
        <v>0</v>
      </c>
    </row>
    <row r="120" spans="14:51" x14ac:dyDescent="0.3">
      <c r="N120" s="170">
        <v>2</v>
      </c>
      <c r="O120" s="199">
        <f t="shared" ref="O120:O183" si="102">10^(2+(N120/100))</f>
        <v>104.71285480508998</v>
      </c>
      <c r="P120" s="189" t="str">
        <f t="shared" si="67"/>
        <v>108.75</v>
      </c>
      <c r="Q120" s="160" t="str">
        <f t="shared" si="68"/>
        <v>1+1.66982702725022i</v>
      </c>
      <c r="R120" s="160">
        <f t="shared" si="77"/>
        <v>1.9463612976360034</v>
      </c>
      <c r="S120" s="160">
        <f t="shared" si="78"/>
        <v>1.0312122275862645</v>
      </c>
      <c r="T120" s="160" t="str">
        <f t="shared" si="69"/>
        <v>1+0.0000618454454537122i</v>
      </c>
      <c r="U120" s="160">
        <f t="shared" si="79"/>
        <v>1.0000000019124295</v>
      </c>
      <c r="V120" s="160">
        <f t="shared" si="80"/>
        <v>6.1845445374862155E-5</v>
      </c>
      <c r="W120" s="98" t="str">
        <f t="shared" si="70"/>
        <v>1-0.000491254602185516i</v>
      </c>
      <c r="X120" s="160">
        <f t="shared" si="81"/>
        <v>1.0000001206655349</v>
      </c>
      <c r="Y120" s="160">
        <f t="shared" si="82"/>
        <v>-4.9125456266718639E-4</v>
      </c>
      <c r="Z120" s="98" t="str">
        <f t="shared" si="71"/>
        <v>0.999999778517218+0.000947583319559638i</v>
      </c>
      <c r="AA120" s="160">
        <f t="shared" si="83"/>
        <v>1.0000002274742905</v>
      </c>
      <c r="AB120" s="160">
        <f t="shared" si="84"/>
        <v>9.4758324581688236E-4</v>
      </c>
      <c r="AC120" s="171" t="str">
        <f t="shared" si="85"/>
        <v>28.6406023180528-47.9745996838668i</v>
      </c>
      <c r="AD120" s="190">
        <f t="shared" si="86"/>
        <v>34.944115195560485</v>
      </c>
      <c r="AE120" s="169">
        <f t="shared" si="87"/>
        <v>-59.163004273804887</v>
      </c>
      <c r="AF120" s="98" t="str">
        <f t="shared" si="72"/>
        <v>-0.0000366300366300366</v>
      </c>
      <c r="AG120" s="98" t="str">
        <f t="shared" si="73"/>
        <v>0.0000453971886841078i</v>
      </c>
      <c r="AH120" s="98">
        <f t="shared" si="88"/>
        <v>4.53971886841078E-5</v>
      </c>
      <c r="AI120" s="98">
        <f t="shared" si="89"/>
        <v>1.5707963267948966</v>
      </c>
      <c r="AJ120" s="98" t="str">
        <f t="shared" si="74"/>
        <v>1+0.00648395049468459i</v>
      </c>
      <c r="AK120" s="98">
        <f t="shared" si="90"/>
        <v>1.0000210205860762</v>
      </c>
      <c r="AL120" s="98">
        <f t="shared" si="91"/>
        <v>6.483859631728592E-3</v>
      </c>
      <c r="AM120" s="98" t="str">
        <f t="shared" si="75"/>
        <v>1+0.447392584133236i</v>
      </c>
      <c r="AN120" s="98">
        <f t="shared" si="92"/>
        <v>1.095518198998727</v>
      </c>
      <c r="AO120" s="98">
        <f t="shared" si="93"/>
        <v>0.4206834825283719</v>
      </c>
      <c r="AP120" s="168" t="str">
        <f t="shared" si="94"/>
        <v>-0.355744945981994+0.809185597854047i</v>
      </c>
      <c r="AQ120" s="98">
        <f t="shared" si="95"/>
        <v>-1.0716227721773273</v>
      </c>
      <c r="AR120" s="169">
        <f t="shared" si="96"/>
        <v>113.73189026788793</v>
      </c>
      <c r="AS120" s="168" t="str">
        <f t="shared" si="97"/>
        <v>28.6316056024709+40.2422842826785i</v>
      </c>
      <c r="AT120" s="190">
        <f t="shared" si="98"/>
        <v>33.872492423383157</v>
      </c>
      <c r="AU120" s="169">
        <f t="shared" si="99"/>
        <v>54.568885994082983</v>
      </c>
      <c r="AV120" s="225"/>
      <c r="AX120">
        <f t="shared" si="100"/>
        <v>0</v>
      </c>
      <c r="AY120">
        <f t="shared" si="101"/>
        <v>0</v>
      </c>
    </row>
    <row r="121" spans="14:51" x14ac:dyDescent="0.3">
      <c r="N121" s="170">
        <v>3</v>
      </c>
      <c r="O121" s="199">
        <f t="shared" si="102"/>
        <v>107.15193052376065</v>
      </c>
      <c r="P121" s="189" t="str">
        <f t="shared" si="67"/>
        <v>108.75</v>
      </c>
      <c r="Q121" s="160" t="str">
        <f t="shared" si="68"/>
        <v>1+1.70872229530616i</v>
      </c>
      <c r="R121" s="160">
        <f t="shared" si="77"/>
        <v>1.9798312762648114</v>
      </c>
      <c r="S121" s="160">
        <f t="shared" si="78"/>
        <v>1.0413059766213009</v>
      </c>
      <c r="T121" s="160" t="str">
        <f t="shared" si="69"/>
        <v>1+0.0000632860109372653i</v>
      </c>
      <c r="U121" s="160">
        <f t="shared" si="79"/>
        <v>1.0000000020025595</v>
      </c>
      <c r="V121" s="160">
        <f t="shared" si="80"/>
        <v>6.3286010852775957E-5</v>
      </c>
      <c r="W121" s="98" t="str">
        <f t="shared" si="70"/>
        <v>1-0.000502697391842108i</v>
      </c>
      <c r="X121" s="160">
        <f t="shared" si="81"/>
        <v>1.0000001263523259</v>
      </c>
      <c r="Y121" s="160">
        <f t="shared" si="82"/>
        <v>-5.0269734949745526E-4</v>
      </c>
      <c r="Z121" s="98" t="str">
        <f t="shared" si="71"/>
        <v>0.999999768079056+0.000969655370507512i</v>
      </c>
      <c r="AA121" s="160">
        <f t="shared" si="83"/>
        <v>1.0000002381948232</v>
      </c>
      <c r="AB121" s="160">
        <f t="shared" si="84"/>
        <v>9.6965529149072645E-4</v>
      </c>
      <c r="AC121" s="171" t="str">
        <f t="shared" si="85"/>
        <v>27.6774140937124-47.4462504668357i</v>
      </c>
      <c r="AD121" s="190">
        <f t="shared" si="86"/>
        <v>34.796020744249475</v>
      </c>
      <c r="AE121" s="169">
        <f t="shared" si="87"/>
        <v>-59.743171213108468</v>
      </c>
      <c r="AF121" s="98" t="str">
        <f t="shared" si="72"/>
        <v>-0.0000366300366300366</v>
      </c>
      <c r="AG121" s="98" t="str">
        <f t="shared" si="73"/>
        <v>0.0000464546250496946i</v>
      </c>
      <c r="AH121" s="98">
        <f t="shared" si="88"/>
        <v>4.6454625049694599E-5</v>
      </c>
      <c r="AI121" s="98">
        <f t="shared" si="89"/>
        <v>1.5707963267948966</v>
      </c>
      <c r="AJ121" s="98" t="str">
        <f t="shared" si="74"/>
        <v>1+0.00663498110350607i</v>
      </c>
      <c r="AK121" s="98">
        <f t="shared" si="90"/>
        <v>1.0000220112448743</v>
      </c>
      <c r="AL121" s="98">
        <f t="shared" si="91"/>
        <v>6.6348837422103282E-3</v>
      </c>
      <c r="AM121" s="98" t="str">
        <f t="shared" si="75"/>
        <v>1+0.457813696141918i</v>
      </c>
      <c r="AN121" s="98">
        <f t="shared" si="92"/>
        <v>1.0998151573674206</v>
      </c>
      <c r="AO121" s="98">
        <f t="shared" si="93"/>
        <v>0.42933276700754958</v>
      </c>
      <c r="AP121" s="168" t="str">
        <f t="shared" si="94"/>
        <v>-0.355744241154136+0.790872513952245i</v>
      </c>
      <c r="AQ121" s="98">
        <f t="shared" si="95"/>
        <v>-1.2376292934405306</v>
      </c>
      <c r="AR121" s="169">
        <f t="shared" si="96"/>
        <v>114.21880472021746</v>
      </c>
      <c r="AS121" s="168" t="str">
        <f t="shared" si="97"/>
        <v>27.6778547104377+38.7680364319252i</v>
      </c>
      <c r="AT121" s="190">
        <f t="shared" si="98"/>
        <v>33.558391450808948</v>
      </c>
      <c r="AU121" s="169">
        <f t="shared" si="99"/>
        <v>54.475633507109052</v>
      </c>
      <c r="AV121" s="225"/>
      <c r="AX121">
        <f t="shared" si="100"/>
        <v>0</v>
      </c>
      <c r="AY121">
        <f t="shared" si="101"/>
        <v>0</v>
      </c>
    </row>
    <row r="122" spans="14:51" x14ac:dyDescent="0.3">
      <c r="N122" s="170">
        <v>4</v>
      </c>
      <c r="O122" s="199">
        <f t="shared" si="102"/>
        <v>109.64781961431861</v>
      </c>
      <c r="P122" s="189" t="str">
        <f t="shared" si="67"/>
        <v>108.75</v>
      </c>
      <c r="Q122" s="160" t="str">
        <f t="shared" si="68"/>
        <v>1+1.74852355054068i</v>
      </c>
      <c r="R122" s="160">
        <f t="shared" si="77"/>
        <v>2.01428265315357</v>
      </c>
      <c r="S122" s="160">
        <f t="shared" si="78"/>
        <v>1.0512865475571254</v>
      </c>
      <c r="T122" s="160" t="str">
        <f t="shared" si="69"/>
        <v>1+0.0000647601315015068i</v>
      </c>
      <c r="U122" s="160">
        <f t="shared" si="79"/>
        <v>1.0000000020969373</v>
      </c>
      <c r="V122" s="160">
        <f t="shared" si="80"/>
        <v>6.4760131410974845E-5</v>
      </c>
      <c r="W122" s="98" t="str">
        <f t="shared" si="70"/>
        <v>1-0.000514406718309841i</v>
      </c>
      <c r="X122" s="160">
        <f t="shared" si="81"/>
        <v>1.0000001323071273</v>
      </c>
      <c r="Y122" s="160">
        <f t="shared" si="82"/>
        <v>-5.144066729367285E-4</v>
      </c>
      <c r="Z122" s="98" t="str">
        <f t="shared" si="71"/>
        <v>0.999999757148959+0.000992241545567735i</v>
      </c>
      <c r="AA122" s="160">
        <f t="shared" si="83"/>
        <v>1.0000002494205997</v>
      </c>
      <c r="AB122" s="160">
        <f t="shared" si="84"/>
        <v>9.9224146089972403E-4</v>
      </c>
      <c r="AC122" s="171" t="str">
        <f t="shared" si="85"/>
        <v>26.7357039258388-46.9048132025065i</v>
      </c>
      <c r="AD122" s="190">
        <f t="shared" si="86"/>
        <v>34.646176060742327</v>
      </c>
      <c r="AE122" s="169">
        <f t="shared" si="87"/>
        <v>-60.316896330972099</v>
      </c>
      <c r="AF122" s="98" t="str">
        <f t="shared" si="72"/>
        <v>-0.0000366300366300366</v>
      </c>
      <c r="AG122" s="98" t="str">
        <f t="shared" si="73"/>
        <v>0.0000475366922723825i</v>
      </c>
      <c r="AH122" s="98">
        <f t="shared" si="88"/>
        <v>4.7536692272382499E-5</v>
      </c>
      <c r="AI122" s="98">
        <f t="shared" si="89"/>
        <v>1.5707963267948966</v>
      </c>
      <c r="AJ122" s="98" t="str">
        <f t="shared" si="74"/>
        <v>1+0.00678952966713299i</v>
      </c>
      <c r="AK122" s="98">
        <f t="shared" si="90"/>
        <v>1.0000230485909316</v>
      </c>
      <c r="AL122" s="98">
        <f t="shared" si="91"/>
        <v>6.7894253427548826E-3</v>
      </c>
      <c r="AM122" s="98" t="str">
        <f t="shared" si="75"/>
        <v>1+0.468477547032175i</v>
      </c>
      <c r="AN122" s="98">
        <f t="shared" si="92"/>
        <v>1.1042967047280743</v>
      </c>
      <c r="AO122" s="98">
        <f t="shared" si="93"/>
        <v>0.43811316430190717</v>
      </c>
      <c r="AP122" s="168" t="str">
        <f t="shared" si="94"/>
        <v>-0.355743503111757+0.772978760684879i</v>
      </c>
      <c r="AQ122" s="98">
        <f t="shared" si="95"/>
        <v>-1.4023167936596892</v>
      </c>
      <c r="AR122" s="169">
        <f t="shared" si="96"/>
        <v>114.71302984616187</v>
      </c>
      <c r="AS122" s="168" t="str">
        <f t="shared" si="97"/>
        <v>26.7453714066926+37.352213848095i</v>
      </c>
      <c r="AT122" s="190">
        <f t="shared" si="98"/>
        <v>33.243859267082641</v>
      </c>
      <c r="AU122" s="169">
        <f t="shared" si="99"/>
        <v>54.396133515189781</v>
      </c>
      <c r="AV122" s="225"/>
      <c r="AX122">
        <f t="shared" si="100"/>
        <v>0</v>
      </c>
      <c r="AY122">
        <f t="shared" si="101"/>
        <v>0</v>
      </c>
    </row>
    <row r="123" spans="14:51" x14ac:dyDescent="0.3">
      <c r="N123" s="170">
        <v>5</v>
      </c>
      <c r="O123" s="199">
        <f t="shared" si="102"/>
        <v>112.20184543019634</v>
      </c>
      <c r="P123" s="189" t="str">
        <f t="shared" si="67"/>
        <v>108.75</v>
      </c>
      <c r="Q123" s="160" t="str">
        <f t="shared" si="68"/>
        <v>1+1.78925189610614i</v>
      </c>
      <c r="R123" s="160">
        <f t="shared" si="77"/>
        <v>2.049737141127959</v>
      </c>
      <c r="S123" s="160">
        <f t="shared" si="78"/>
        <v>1.0611512781572179</v>
      </c>
      <c r="T123" s="160" t="str">
        <f t="shared" si="69"/>
        <v>1+0.000066268588744672i</v>
      </c>
      <c r="U123" s="160">
        <f t="shared" si="79"/>
        <v>1.0000000021957629</v>
      </c>
      <c r="V123" s="160">
        <f t="shared" si="80"/>
        <v>6.6268588647665262E-5</v>
      </c>
      <c r="W123" s="98" t="str">
        <f t="shared" si="70"/>
        <v>1-0.000526388790028601i</v>
      </c>
      <c r="X123" s="160">
        <f t="shared" si="81"/>
        <v>1.0000001385425696</v>
      </c>
      <c r="Y123" s="160">
        <f t="shared" si="82"/>
        <v>-5.2638874141043535E-4</v>
      </c>
      <c r="Z123" s="98" t="str">
        <f t="shared" si="71"/>
        <v>0.999999745703742+0.00101535382022929i</v>
      </c>
      <c r="AA123" s="160">
        <f t="shared" si="83"/>
        <v>1.0000002611754304</v>
      </c>
      <c r="AB123" s="160">
        <f t="shared" si="84"/>
        <v>1.0153537295058824E-3</v>
      </c>
      <c r="AC123" s="171" t="str">
        <f t="shared" si="85"/>
        <v>25.8157262692189-46.3512948837087i</v>
      </c>
      <c r="AD123" s="190">
        <f t="shared" si="86"/>
        <v>34.494620854848662</v>
      </c>
      <c r="AE123" s="169">
        <f t="shared" si="87"/>
        <v>-60.884028089557262</v>
      </c>
      <c r="AF123" s="98" t="str">
        <f t="shared" si="72"/>
        <v>-0.0000366300366300366</v>
      </c>
      <c r="AG123" s="98" t="str">
        <f t="shared" si="73"/>
        <v>0.0000486439640785357i</v>
      </c>
      <c r="AH123" s="98">
        <f t="shared" si="88"/>
        <v>4.8643964078535701E-5</v>
      </c>
      <c r="AI123" s="98">
        <f t="shared" si="89"/>
        <v>1.5707963267948966</v>
      </c>
      <c r="AJ123" s="98" t="str">
        <f t="shared" si="74"/>
        <v>1+0.00694767812925947i</v>
      </c>
      <c r="AK123" s="98">
        <f t="shared" si="90"/>
        <v>1.000024134824449</v>
      </c>
      <c r="AL123" s="98">
        <f t="shared" si="91"/>
        <v>6.9475663438200285E-3</v>
      </c>
      <c r="AM123" s="98" t="str">
        <f t="shared" si="75"/>
        <v>1+0.479389790918902i</v>
      </c>
      <c r="AN123" s="98">
        <f t="shared" si="92"/>
        <v>1.1089700499279809</v>
      </c>
      <c r="AO123" s="98">
        <f t="shared" si="93"/>
        <v>0.44702391344740233</v>
      </c>
      <c r="AP123" s="168" t="str">
        <f t="shared" si="94"/>
        <v>-0.355742730289795+0.755494850515593i</v>
      </c>
      <c r="AQ123" s="98">
        <f t="shared" si="95"/>
        <v>-1.565645407208399</v>
      </c>
      <c r="AR123" s="169">
        <f t="shared" si="96"/>
        <v>115.21451735256956</v>
      </c>
      <c r="AS123" s="168" t="str">
        <f t="shared" si="97"/>
        <v>25.8344076519458+35.9927844531129i</v>
      </c>
      <c r="AT123" s="190">
        <f t="shared" si="98"/>
        <v>32.928975447640262</v>
      </c>
      <c r="AU123" s="169">
        <f t="shared" si="99"/>
        <v>54.330489263012225</v>
      </c>
      <c r="AV123" s="225"/>
      <c r="AX123">
        <f t="shared" si="100"/>
        <v>0</v>
      </c>
      <c r="AY123">
        <f t="shared" si="101"/>
        <v>0</v>
      </c>
    </row>
    <row r="124" spans="14:51" x14ac:dyDescent="0.3">
      <c r="N124" s="170">
        <v>6</v>
      </c>
      <c r="O124" s="199">
        <f t="shared" si="102"/>
        <v>114.81536214968835</v>
      </c>
      <c r="P124" s="189" t="str">
        <f t="shared" si="67"/>
        <v>108.75</v>
      </c>
      <c r="Q124" s="160" t="str">
        <f t="shared" si="68"/>
        <v>1+1.83092892671046i</v>
      </c>
      <c r="R124" s="160">
        <f t="shared" si="77"/>
        <v>2.0862168474693892</v>
      </c>
      <c r="S124" s="160">
        <f t="shared" si="78"/>
        <v>1.0708977184332702</v>
      </c>
      <c r="T124" s="160" t="str">
        <f t="shared" si="69"/>
        <v>1+0.0000678121824707581i</v>
      </c>
      <c r="U124" s="160">
        <f t="shared" si="79"/>
        <v>1.0000000022992459</v>
      </c>
      <c r="V124" s="160">
        <f t="shared" si="80"/>
        <v>6.7812182366813512E-5</v>
      </c>
      <c r="W124" s="98" t="str">
        <f t="shared" si="70"/>
        <v>1-0.000538649960051412i</v>
      </c>
      <c r="X124" s="160">
        <f t="shared" si="81"/>
        <v>1.0000001450718792</v>
      </c>
      <c r="Y124" s="160">
        <f t="shared" si="82"/>
        <v>-5.3864990795610937E-4</v>
      </c>
      <c r="Z124" s="98" t="str">
        <f t="shared" si="71"/>
        <v>0.999999733719129+0.00103900444892612i</v>
      </c>
      <c r="AA124" s="160">
        <f t="shared" si="83"/>
        <v>1.0000002734842495</v>
      </c>
      <c r="AB124" s="160">
        <f t="shared" si="84"/>
        <v>1.0390043517142379E-3</v>
      </c>
      <c r="AC124" s="171" t="str">
        <f t="shared" si="85"/>
        <v>24.9176789754578-45.7866944654665i</v>
      </c>
      <c r="AD124" s="190">
        <f t="shared" si="86"/>
        <v>34.341395251668196</v>
      </c>
      <c r="AE124" s="169">
        <f t="shared" si="87"/>
        <v>-61.444427135176355</v>
      </c>
      <c r="AF124" s="98" t="str">
        <f t="shared" si="72"/>
        <v>-0.0000366300366300366</v>
      </c>
      <c r="AG124" s="98" t="str">
        <f t="shared" si="73"/>
        <v>0.0000497770275583223i</v>
      </c>
      <c r="AH124" s="98">
        <f t="shared" si="88"/>
        <v>4.9777027558322298E-5</v>
      </c>
      <c r="AI124" s="98">
        <f t="shared" si="89"/>
        <v>1.5707963267948966</v>
      </c>
      <c r="AJ124" s="98" t="str">
        <f t="shared" si="74"/>
        <v>1+0.00710951034229347i</v>
      </c>
      <c r="AK124" s="98">
        <f t="shared" si="90"/>
        <v>1.0000252722493104</v>
      </c>
      <c r="AL124" s="98">
        <f t="shared" si="91"/>
        <v>7.1093905622005502E-3</v>
      </c>
      <c r="AM124" s="98" t="str">
        <f t="shared" si="75"/>
        <v>1+0.490556213618248i</v>
      </c>
      <c r="AN124" s="98">
        <f t="shared" si="92"/>
        <v>1.1138426274476445</v>
      </c>
      <c r="AO124" s="98">
        <f t="shared" si="93"/>
        <v>0.45606407782635711</v>
      </c>
      <c r="AP124" s="168" t="str">
        <f t="shared" si="94"/>
        <v>-0.355741921049455+0.738411513210003i</v>
      </c>
      <c r="AQ124" s="98">
        <f t="shared" si="95"/>
        <v>-1.7275749401019771</v>
      </c>
      <c r="AR124" s="169">
        <f t="shared" si="96"/>
        <v>115.72320877285195</v>
      </c>
      <c r="AS124" s="168" t="str">
        <f t="shared" si="97"/>
        <v>24.9451593583062+34.6877476855984i</v>
      </c>
      <c r="AT124" s="190">
        <f t="shared" si="98"/>
        <v>32.613820311566222</v>
      </c>
      <c r="AU124" s="169">
        <f t="shared" si="99"/>
        <v>54.278781637675635</v>
      </c>
      <c r="AV124" s="225"/>
      <c r="AX124">
        <f t="shared" si="100"/>
        <v>0</v>
      </c>
      <c r="AY124">
        <f t="shared" si="101"/>
        <v>0</v>
      </c>
    </row>
    <row r="125" spans="14:51" x14ac:dyDescent="0.3">
      <c r="N125" s="170">
        <v>7</v>
      </c>
      <c r="O125" s="199">
        <f t="shared" si="102"/>
        <v>117.48975549395293</v>
      </c>
      <c r="P125" s="189" t="str">
        <f t="shared" si="67"/>
        <v>108.75</v>
      </c>
      <c r="Q125" s="160" t="str">
        <f t="shared" si="68"/>
        <v>1+1.87357674006694i</v>
      </c>
      <c r="R125" s="160">
        <f t="shared" si="77"/>
        <v>2.1237442880252466</v>
      </c>
      <c r="S125" s="160">
        <f t="shared" si="78"/>
        <v>1.0805236285845996</v>
      </c>
      <c r="T125" s="160" t="str">
        <f t="shared" si="69"/>
        <v>1+0.0000693917311135905i</v>
      </c>
      <c r="U125" s="160">
        <f t="shared" si="79"/>
        <v>1.0000000024076061</v>
      </c>
      <c r="V125" s="160">
        <f t="shared" si="80"/>
        <v>6.939173100221186E-5</v>
      </c>
      <c r="W125" s="98" t="str">
        <f t="shared" si="70"/>
        <v>1-0.000551196729412918i</v>
      </c>
      <c r="X125" s="160">
        <f t="shared" si="81"/>
        <v>1.0000001519089057</v>
      </c>
      <c r="Y125" s="160">
        <f t="shared" si="82"/>
        <v>-5.5119667359179595E-4</v>
      </c>
      <c r="Z125" s="98" t="str">
        <f t="shared" si="71"/>
        <v>0.999999721169698+0.00106320597153463i</v>
      </c>
      <c r="AA125" s="160">
        <f t="shared" si="83"/>
        <v>1.0000002863731647</v>
      </c>
      <c r="AB125" s="160">
        <f t="shared" si="84"/>
        <v>1.0632058673702225E-3</v>
      </c>
      <c r="AC125" s="171" t="str">
        <f t="shared" si="85"/>
        <v>24.0417052054707-45.2119995010657i</v>
      </c>
      <c r="AD125" s="190">
        <f t="shared" si="86"/>
        <v>34.186539689303721</v>
      </c>
      <c r="AE125" s="169">
        <f t="shared" si="87"/>
        <v>-61.997966180771705</v>
      </c>
      <c r="AF125" s="98" t="str">
        <f t="shared" si="72"/>
        <v>-0.0000366300366300366</v>
      </c>
      <c r="AG125" s="98" t="str">
        <f t="shared" si="73"/>
        <v>0.0000509364834769972i</v>
      </c>
      <c r="AH125" s="98">
        <f t="shared" si="88"/>
        <v>5.0936483476997202E-5</v>
      </c>
      <c r="AI125" s="98">
        <f t="shared" si="89"/>
        <v>1.5707963267948966</v>
      </c>
      <c r="AJ125" s="98" t="str">
        <f t="shared" si="74"/>
        <v>1+0.00727511211181645i</v>
      </c>
      <c r="AK125" s="98">
        <f t="shared" si="90"/>
        <v>1.0000264632779672</v>
      </c>
      <c r="AL125" s="98">
        <f t="shared" si="91"/>
        <v>7.2749837653179371E-3</v>
      </c>
      <c r="AM125" s="98" t="str">
        <f t="shared" si="75"/>
        <v>1+0.501982735715333i</v>
      </c>
      <c r="AN125" s="98">
        <f t="shared" si="92"/>
        <v>1.1189221004861105</v>
      </c>
      <c r="AO125" s="98">
        <f t="shared" si="93"/>
        <v>0.46523253924578051</v>
      </c>
      <c r="AP125" s="168" t="str">
        <f t="shared" si="94"/>
        <v>-0.355741073674739+0.721719690920344i</v>
      </c>
      <c r="AQ125" s="98">
        <f t="shared" si="95"/>
        <v>-1.8880649380342978</v>
      </c>
      <c r="AR125" s="169">
        <f t="shared" si="96"/>
        <v>116.23903512515876</v>
      </c>
      <c r="AS125" s="168" t="str">
        <f t="shared" si="97"/>
        <v>24.0777682830342+33.4351372955812i</v>
      </c>
      <c r="AT125" s="190">
        <f t="shared" si="98"/>
        <v>32.298474751269424</v>
      </c>
      <c r="AU125" s="169">
        <f t="shared" si="99"/>
        <v>54.241068944387038</v>
      </c>
      <c r="AV125" s="225"/>
      <c r="AX125">
        <f t="shared" si="100"/>
        <v>0</v>
      </c>
      <c r="AY125">
        <f t="shared" si="101"/>
        <v>0</v>
      </c>
    </row>
    <row r="126" spans="14:51" x14ac:dyDescent="0.3">
      <c r="N126" s="170">
        <v>8</v>
      </c>
      <c r="O126" s="199">
        <f t="shared" si="102"/>
        <v>120.22644346174135</v>
      </c>
      <c r="P126" s="189" t="str">
        <f t="shared" si="67"/>
        <v>108.75</v>
      </c>
      <c r="Q126" s="160" t="str">
        <f t="shared" si="68"/>
        <v>1+1.91721794861072i</v>
      </c>
      <c r="R126" s="160">
        <f t="shared" si="77"/>
        <v>2.1623424017659869</v>
      </c>
      <c r="S126" s="160">
        <f t="shared" si="78"/>
        <v>1.0900269762520556</v>
      </c>
      <c r="T126" s="160" t="str">
        <f t="shared" si="69"/>
        <v>1+0.0000710080721707676i</v>
      </c>
      <c r="U126" s="160">
        <f t="shared" si="79"/>
        <v>1.0000000025210731</v>
      </c>
      <c r="V126" s="160">
        <f t="shared" si="80"/>
        <v>7.1008072051423227E-5</v>
      </c>
      <c r="W126" s="98" t="str">
        <f t="shared" si="70"/>
        <v>1-0.000564035750576311i</v>
      </c>
      <c r="X126" s="160">
        <f t="shared" si="81"/>
        <v>1.0000001590681513</v>
      </c>
      <c r="Y126" s="160">
        <f t="shared" si="82"/>
        <v>-5.6403569076290158E-4</v>
      </c>
      <c r="Z126" s="98" t="str">
        <f t="shared" si="71"/>
        <v>0.999999708028831+0.00108797122002244i</v>
      </c>
      <c r="AA126" s="160">
        <f t="shared" si="83"/>
        <v>1.0000002998695166</v>
      </c>
      <c r="AB126" s="160">
        <f t="shared" si="84"/>
        <v>1.0879711084082672E-3</v>
      </c>
      <c r="AC126" s="171" t="str">
        <f t="shared" si="85"/>
        <v>23.1878955353398-44.6281830270368i</v>
      </c>
      <c r="AD126" s="190">
        <f t="shared" si="86"/>
        <v>34.030094820270385</v>
      </c>
      <c r="AE126" s="169">
        <f t="shared" si="87"/>
        <v>-62.544529849129106</v>
      </c>
      <c r="AF126" s="98" t="str">
        <f t="shared" si="72"/>
        <v>-0.0000366300366300366</v>
      </c>
      <c r="AG126" s="98" t="str">
        <f t="shared" si="73"/>
        <v>0.0000521229465934357i</v>
      </c>
      <c r="AH126" s="98">
        <f t="shared" si="88"/>
        <v>5.2122946593435702E-5</v>
      </c>
      <c r="AI126" s="98">
        <f t="shared" si="89"/>
        <v>1.5707963267948966</v>
      </c>
      <c r="AJ126" s="98" t="str">
        <f t="shared" si="74"/>
        <v>1+0.00744457124207862i</v>
      </c>
      <c r="AK126" s="98">
        <f t="shared" si="90"/>
        <v>1.0000277104365551</v>
      </c>
      <c r="AL126" s="98">
        <f t="shared" si="91"/>
        <v>7.4444337165335203E-3</v>
      </c>
      <c r="AM126" s="98" t="str">
        <f t="shared" si="75"/>
        <v>1+0.513675415703423i</v>
      </c>
      <c r="AN126" s="98">
        <f t="shared" si="92"/>
        <v>1.1242163638277485</v>
      </c>
      <c r="AO126" s="98">
        <f t="shared" si="93"/>
        <v>0.47452799233855392</v>
      </c>
      <c r="AP126" s="168" t="str">
        <f t="shared" si="94"/>
        <v>-0.35574018636881+0.705410533382706i</v>
      </c>
      <c r="AQ126" s="98">
        <f t="shared" si="95"/>
        <v>-2.0470747593658607</v>
      </c>
      <c r="AR126" s="169">
        <f t="shared" si="96"/>
        <v>116.76191658899319</v>
      </c>
      <c r="AS126" s="168" t="str">
        <f t="shared" si="97"/>
        <v>23.2323241137608+32.2330239049459i</v>
      </c>
      <c r="AT126" s="190">
        <f t="shared" si="98"/>
        <v>31.983020060904522</v>
      </c>
      <c r="AU126" s="169">
        <f t="shared" si="99"/>
        <v>54.217386739864033</v>
      </c>
      <c r="AV126" s="225"/>
      <c r="AX126">
        <f t="shared" si="100"/>
        <v>0</v>
      </c>
      <c r="AY126">
        <f t="shared" si="101"/>
        <v>0</v>
      </c>
    </row>
    <row r="127" spans="14:51" x14ac:dyDescent="0.3">
      <c r="N127" s="170">
        <v>9</v>
      </c>
      <c r="O127" s="199">
        <f t="shared" si="102"/>
        <v>123.02687708123821</v>
      </c>
      <c r="P127" s="189" t="str">
        <f t="shared" si="67"/>
        <v>108.75</v>
      </c>
      <c r="Q127" s="160" t="str">
        <f t="shared" si="68"/>
        <v>1+1.96187569148823i</v>
      </c>
      <c r="R127" s="160">
        <f t="shared" si="77"/>
        <v>2.2020345657714868</v>
      </c>
      <c r="S127" s="160">
        <f t="shared" si="78"/>
        <v>1.0994059331399559</v>
      </c>
      <c r="T127" s="160" t="str">
        <f t="shared" si="69"/>
        <v>1+0.0000726620626477125i</v>
      </c>
      <c r="U127" s="160">
        <f t="shared" si="79"/>
        <v>1.0000000026398876</v>
      </c>
      <c r="V127" s="160">
        <f t="shared" si="80"/>
        <v>7.2662062519832712E-5</v>
      </c>
      <c r="W127" s="98" t="str">
        <f t="shared" si="70"/>
        <v>1-0.000577173830960554i</v>
      </c>
      <c r="X127" s="160">
        <f t="shared" si="81"/>
        <v>1.0000001665648017</v>
      </c>
      <c r="Y127" s="160">
        <f t="shared" si="82"/>
        <v>-5.7717376686933165E-4</v>
      </c>
      <c r="Z127" s="98" t="str">
        <f t="shared" si="71"/>
        <v>0.999999694268653+0.0011133133252521i</v>
      </c>
      <c r="AA127" s="160">
        <f t="shared" si="83"/>
        <v>1.0000003140019305</v>
      </c>
      <c r="AB127" s="160">
        <f t="shared" si="84"/>
        <v>1.1133132056553611E-3</v>
      </c>
      <c r="AC127" s="171" t="str">
        <f t="shared" si="85"/>
        <v>22.3562902267971-44.0362007045476i</v>
      </c>
      <c r="AD127" s="190">
        <f t="shared" si="86"/>
        <v>33.872101416931038</v>
      </c>
      <c r="AE127" s="169">
        <f t="shared" si="87"/>
        <v>-63.084014479895757</v>
      </c>
      <c r="AF127" s="98" t="str">
        <f t="shared" si="72"/>
        <v>-0.0000366300366300366</v>
      </c>
      <c r="AG127" s="98" t="str">
        <f t="shared" si="73"/>
        <v>0.0000533370459860867i</v>
      </c>
      <c r="AH127" s="98">
        <f t="shared" si="88"/>
        <v>5.3337045986086698E-5</v>
      </c>
      <c r="AI127" s="98">
        <f t="shared" si="89"/>
        <v>1.5707963267948966</v>
      </c>
      <c r="AJ127" s="98" t="str">
        <f t="shared" si="74"/>
        <v>1+0.00761797758255388i</v>
      </c>
      <c r="AK127" s="98">
        <f t="shared" si="90"/>
        <v>1.0000290163702492</v>
      </c>
      <c r="AL127" s="98">
        <f t="shared" si="91"/>
        <v>7.6178302215082708E-3</v>
      </c>
      <c r="AM127" s="98" t="str">
        <f t="shared" si="75"/>
        <v>1+0.525640453196216i</v>
      </c>
      <c r="AN127" s="98">
        <f t="shared" si="92"/>
        <v>1.1297335464773646</v>
      </c>
      <c r="AO127" s="98">
        <f t="shared" si="93"/>
        <v>0.48394893934037964</v>
      </c>
      <c r="AP127" s="168" t="str">
        <f t="shared" si="94"/>
        <v>-0.355739257250185+0.689475393224329i</v>
      </c>
      <c r="AQ127" s="98">
        <f t="shared" si="95"/>
        <v>-2.2045636530066428</v>
      </c>
      <c r="AR127" s="169">
        <f t="shared" si="96"/>
        <v>117.29176220329681</v>
      </c>
      <c r="AS127" s="168" t="str">
        <f t="shared" si="97"/>
        <v>22.4088667167231+31.079517325914i</v>
      </c>
      <c r="AT127" s="190">
        <f t="shared" si="98"/>
        <v>31.6675377639244</v>
      </c>
      <c r="AU127" s="169">
        <f t="shared" si="99"/>
        <v>54.207747723401013</v>
      </c>
      <c r="AV127" s="225"/>
      <c r="AX127">
        <f t="shared" si="100"/>
        <v>0</v>
      </c>
      <c r="AY127">
        <f t="shared" si="101"/>
        <v>0</v>
      </c>
    </row>
    <row r="128" spans="14:51" x14ac:dyDescent="0.3">
      <c r="N128" s="170">
        <v>10</v>
      </c>
      <c r="O128" s="199">
        <f t="shared" si="102"/>
        <v>125.89254117941677</v>
      </c>
      <c r="P128" s="189" t="str">
        <f t="shared" si="67"/>
        <v>108.75</v>
      </c>
      <c r="Q128" s="160" t="str">
        <f t="shared" si="68"/>
        <v>1+2.00757364682586i</v>
      </c>
      <c r="R128" s="160">
        <f t="shared" si="77"/>
        <v>2.2428446106294753</v>
      </c>
      <c r="S128" s="160">
        <f t="shared" si="78"/>
        <v>1.1086588710607859</v>
      </c>
      <c r="T128" s="160" t="str">
        <f t="shared" si="69"/>
        <v>1+0.0000743545795120693i</v>
      </c>
      <c r="U128" s="160">
        <f t="shared" si="79"/>
        <v>1.0000000027643017</v>
      </c>
      <c r="V128" s="160">
        <f t="shared" si="80"/>
        <v>7.4354579375043642E-5</v>
      </c>
      <c r="W128" s="98" t="str">
        <f t="shared" si="70"/>
        <v>1-0.000590617936549771i</v>
      </c>
      <c r="X128" s="160">
        <f t="shared" si="81"/>
        <v>1.0000001744147582</v>
      </c>
      <c r="Y128" s="160">
        <f t="shared" si="82"/>
        <v>-5.906178678747896E-4</v>
      </c>
      <c r="Z128" s="98" t="str">
        <f t="shared" si="71"/>
        <v>0.999999679859979+0.00113924572394326i</v>
      </c>
      <c r="AA128" s="160">
        <f t="shared" si="83"/>
        <v>1.000000328800386</v>
      </c>
      <c r="AB128" s="160">
        <f t="shared" si="84"/>
        <v>1.1392455957930461E-3</v>
      </c>
      <c r="AC128" s="171" t="str">
        <f t="shared" si="85"/>
        <v>21.5468816341064-43.4369882215396i</v>
      </c>
      <c r="AD128" s="190">
        <f t="shared" si="86"/>
        <v>33.712600281232113</v>
      </c>
      <c r="AE128" s="169">
        <f t="shared" si="87"/>
        <v>-63.616327903537936</v>
      </c>
      <c r="AF128" s="98" t="str">
        <f t="shared" si="72"/>
        <v>-0.0000366300366300366</v>
      </c>
      <c r="AG128" s="98" t="str">
        <f t="shared" si="73"/>
        <v>0.0000545794253865189i</v>
      </c>
      <c r="AH128" s="98">
        <f t="shared" si="88"/>
        <v>5.4579425386518897E-5</v>
      </c>
      <c r="AI128" s="98">
        <f t="shared" si="89"/>
        <v>1.5707963267948966</v>
      </c>
      <c r="AJ128" s="98" t="str">
        <f t="shared" si="74"/>
        <v>1+0.00779542307557926i</v>
      </c>
      <c r="AK128" s="98">
        <f t="shared" si="90"/>
        <v>1.0000303838488744</v>
      </c>
      <c r="AL128" s="98">
        <f t="shared" si="91"/>
        <v>7.7952651756331547E-3</v>
      </c>
      <c r="AM128" s="98" t="str">
        <f t="shared" si="75"/>
        <v>1+0.537884192214967i</v>
      </c>
      <c r="AN128" s="98">
        <f t="shared" si="92"/>
        <v>1.1354820140516306</v>
      </c>
      <c r="AO128" s="98">
        <f t="shared" si="93"/>
        <v>0.49349368529672832</v>
      </c>
      <c r="AP128" s="168" t="str">
        <f t="shared" si="94"/>
        <v>-0.355738284348749+0.673905821378432i</v>
      </c>
      <c r="AQ128" s="98">
        <f t="shared" si="95"/>
        <v>-2.3604908410951038</v>
      </c>
      <c r="AR128" s="169">
        <f t="shared" si="96"/>
        <v>117.82846958911071</v>
      </c>
      <c r="AS128" s="168" t="str">
        <f t="shared" si="97"/>
        <v>21.6073885200593+29.9727686329836i</v>
      </c>
      <c r="AT128" s="190">
        <f t="shared" si="98"/>
        <v>31.352109440136999</v>
      </c>
      <c r="AU128" s="169">
        <f t="shared" si="99"/>
        <v>54.212141685572817</v>
      </c>
      <c r="AV128" s="225"/>
      <c r="AX128">
        <f t="shared" si="100"/>
        <v>0</v>
      </c>
      <c r="AY128">
        <f t="shared" si="101"/>
        <v>0</v>
      </c>
    </row>
    <row r="129" spans="14:51" x14ac:dyDescent="0.3">
      <c r="N129" s="170">
        <v>11</v>
      </c>
      <c r="O129" s="199">
        <f t="shared" si="102"/>
        <v>128.82495516931343</v>
      </c>
      <c r="P129" s="189" t="str">
        <f t="shared" si="67"/>
        <v>108.75</v>
      </c>
      <c r="Q129" s="160" t="str">
        <f t="shared" si="68"/>
        <v>1+2.05433604428443i</v>
      </c>
      <c r="R129" s="160">
        <f t="shared" si="77"/>
        <v>2.2847968362299085</v>
      </c>
      <c r="S129" s="160">
        <f t="shared" si="78"/>
        <v>1.1177843574580344</v>
      </c>
      <c r="T129" s="160" t="str">
        <f t="shared" si="69"/>
        <v>1+0.0000760865201586827i</v>
      </c>
      <c r="U129" s="160">
        <f t="shared" si="79"/>
        <v>1.0000000028945792</v>
      </c>
      <c r="V129" s="160">
        <f t="shared" si="80"/>
        <v>7.6086520011857064E-5</v>
      </c>
      <c r="W129" s="98" t="str">
        <f t="shared" si="70"/>
        <v>1-0.0006043751955867i</v>
      </c>
      <c r="X129" s="160">
        <f t="shared" si="81"/>
        <v>1.0000001826346718</v>
      </c>
      <c r="Y129" s="160">
        <f t="shared" si="82"/>
        <v>-6.0437512200013242E-4</v>
      </c>
      <c r="Z129" s="98" t="str">
        <f t="shared" si="71"/>
        <v>0.999999664772244+0.00116578216579695i</v>
      </c>
      <c r="AA129" s="160">
        <f t="shared" si="83"/>
        <v>1.0000003442962699</v>
      </c>
      <c r="AB129" s="160">
        <f t="shared" si="84"/>
        <v>1.1657820284815238E-3</v>
      </c>
      <c r="AC129" s="171" t="str">
        <f t="shared" si="85"/>
        <v>20.7596167199588-42.8314589570354i</v>
      </c>
      <c r="AD129" s="190">
        <f t="shared" si="86"/>
        <v>33.551632158967841</v>
      </c>
      <c r="AE129" s="169">
        <f t="shared" si="87"/>
        <v>-64.141389185410901</v>
      </c>
      <c r="AF129" s="98" t="str">
        <f t="shared" si="72"/>
        <v>-0.0000366300366300366</v>
      </c>
      <c r="AG129" s="98" t="str">
        <f t="shared" si="73"/>
        <v>0.000055850743520735i</v>
      </c>
      <c r="AH129" s="98">
        <f t="shared" si="88"/>
        <v>5.5850743520735E-5</v>
      </c>
      <c r="AI129" s="98">
        <f t="shared" si="89"/>
        <v>1.5707963267948966</v>
      </c>
      <c r="AJ129" s="98" t="str">
        <f t="shared" si="74"/>
        <v>1+0.00797700180510394i</v>
      </c>
      <c r="AK129" s="98">
        <f t="shared" si="90"/>
        <v>1.0000318157727777</v>
      </c>
      <c r="AL129" s="98">
        <f t="shared" si="91"/>
        <v>7.9768326125541113E-3</v>
      </c>
      <c r="AM129" s="98" t="str">
        <f t="shared" si="75"/>
        <v>1+0.55041312455217i</v>
      </c>
      <c r="AN129" s="98">
        <f t="shared" si="92"/>
        <v>1.1414703709160754</v>
      </c>
      <c r="AO129" s="98">
        <f t="shared" si="93"/>
        <v>0.50316033375484492</v>
      </c>
      <c r="AP129" s="168" t="str">
        <f t="shared" si="94"/>
        <v>-0.355737265601586+0.658693562604227i</v>
      </c>
      <c r="AQ129" s="98">
        <f t="shared" si="95"/>
        <v>-2.5148156063282476</v>
      </c>
      <c r="AR129" s="169">
        <f t="shared" si="96"/>
        <v>118.37192469996478</v>
      </c>
      <c r="AS129" s="168" t="str">
        <f t="shared" si="97"/>
        <v>20.8278370050513+28.9109719866703i</v>
      </c>
      <c r="AT129" s="190">
        <f t="shared" si="98"/>
        <v>31.036816552639603</v>
      </c>
      <c r="AU129" s="169">
        <f t="shared" si="99"/>
        <v>54.230535514553871</v>
      </c>
      <c r="AV129" s="225"/>
      <c r="AX129">
        <f t="shared" si="100"/>
        <v>0</v>
      </c>
      <c r="AY129">
        <f t="shared" si="101"/>
        <v>0</v>
      </c>
    </row>
    <row r="130" spans="14:51" x14ac:dyDescent="0.3">
      <c r="N130" s="170">
        <v>12</v>
      </c>
      <c r="O130" s="199">
        <f t="shared" si="102"/>
        <v>131.82567385564084</v>
      </c>
      <c r="P130" s="189" t="str">
        <f t="shared" si="67"/>
        <v>108.75</v>
      </c>
      <c r="Q130" s="160" t="str">
        <f t="shared" si="68"/>
        <v>1+2.10218767790602i</v>
      </c>
      <c r="R130" s="160">
        <f t="shared" si="77"/>
        <v>2.3279160279399913</v>
      </c>
      <c r="S130" s="160">
        <f t="shared" si="78"/>
        <v>1.1267811504625269</v>
      </c>
      <c r="T130" s="160" t="str">
        <f t="shared" si="69"/>
        <v>1+0.0000778588028854084i</v>
      </c>
      <c r="U130" s="160">
        <f t="shared" si="79"/>
        <v>1.0000000030309966</v>
      </c>
      <c r="V130" s="160">
        <f t="shared" si="80"/>
        <v>7.7858802728081894E-5</v>
      </c>
      <c r="W130" s="98" t="str">
        <f t="shared" si="70"/>
        <v>1-0.000618452902352181i</v>
      </c>
      <c r="X130" s="160">
        <f t="shared" si="81"/>
        <v>1.000000191241978</v>
      </c>
      <c r="Y130" s="160">
        <f t="shared" si="82"/>
        <v>-6.1845282350275396E-4</v>
      </c>
      <c r="Z130" s="98" t="str">
        <f t="shared" si="71"/>
        <v>0.999999648973447+0.0011929367207859i</v>
      </c>
      <c r="AA130" s="160">
        <f t="shared" si="83"/>
        <v>1.0000003605224534</v>
      </c>
      <c r="AB130" s="160">
        <f t="shared" si="84"/>
        <v>1.192936573649771E-3</v>
      </c>
      <c r="AC130" s="171" t="str">
        <f t="shared" si="85"/>
        <v>19.9943996540886-42.2205019063338i</v>
      </c>
      <c r="AD130" s="190">
        <f t="shared" si="86"/>
        <v>33.389237658746332</v>
      </c>
      <c r="AE130" s="169">
        <f t="shared" si="87"/>
        <v>-64.659128343115555</v>
      </c>
      <c r="AF130" s="98" t="str">
        <f t="shared" si="72"/>
        <v>-0.0000366300366300366</v>
      </c>
      <c r="AG130" s="98" t="str">
        <f t="shared" si="73"/>
        <v>0.0000571516744584379i</v>
      </c>
      <c r="AH130" s="98">
        <f t="shared" si="88"/>
        <v>5.71516744584379E-5</v>
      </c>
      <c r="AI130" s="98">
        <f t="shared" si="89"/>
        <v>1.5707963267948966</v>
      </c>
      <c r="AJ130" s="98" t="str">
        <f t="shared" si="74"/>
        <v>1+0.0081628100465738i</v>
      </c>
      <c r="AK130" s="98">
        <f t="shared" si="90"/>
        <v>1.0000333151789775</v>
      </c>
      <c r="AL130" s="98">
        <f t="shared" si="91"/>
        <v>8.1626287538165473E-3</v>
      </c>
      <c r="AM130" s="98" t="str">
        <f t="shared" si="75"/>
        <v>1+0.563233893213591i</v>
      </c>
      <c r="AN130" s="98">
        <f t="shared" si="92"/>
        <v>1.1477074620584022</v>
      </c>
      <c r="AO130" s="98">
        <f t="shared" si="93"/>
        <v>0.51294678299625329</v>
      </c>
      <c r="AP130" s="168" t="str">
        <f t="shared" si="94"/>
        <v>-0.355736198848602+0.643830551109611i</v>
      </c>
      <c r="AQ130" s="98">
        <f t="shared" si="95"/>
        <v>-2.6674973837518272</v>
      </c>
      <c r="AR130" s="169">
        <f t="shared" si="96"/>
        <v>118.92200160317243</v>
      </c>
      <c r="AS130" s="168" t="str">
        <f t="shared" si="97"/>
        <v>20.070117279274+27.892366210037i</v>
      </c>
      <c r="AT130" s="190">
        <f t="shared" si="98"/>
        <v>30.721740274994502</v>
      </c>
      <c r="AU130" s="169">
        <f t="shared" si="99"/>
        <v>54.26287326005685</v>
      </c>
      <c r="AV130" s="225"/>
      <c r="AX130">
        <f t="shared" si="100"/>
        <v>0</v>
      </c>
      <c r="AY130">
        <f t="shared" si="101"/>
        <v>0</v>
      </c>
    </row>
    <row r="131" spans="14:51" x14ac:dyDescent="0.3">
      <c r="N131" s="170">
        <v>13</v>
      </c>
      <c r="O131" s="199">
        <f t="shared" si="102"/>
        <v>134.89628825916537</v>
      </c>
      <c r="P131" s="189" t="str">
        <f t="shared" si="67"/>
        <v>108.75</v>
      </c>
      <c r="Q131" s="160" t="str">
        <f t="shared" si="68"/>
        <v>1+2.15115391926018i</v>
      </c>
      <c r="R131" s="160">
        <f t="shared" si="77"/>
        <v>2.3722274731459527</v>
      </c>
      <c r="S131" s="160">
        <f t="shared" si="78"/>
        <v>1.1356481935371339</v>
      </c>
      <c r="T131" s="160" t="str">
        <f t="shared" si="69"/>
        <v>1+0.0000796723673800069i</v>
      </c>
      <c r="U131" s="160">
        <f t="shared" si="79"/>
        <v>1.000000003173843</v>
      </c>
      <c r="V131" s="160">
        <f t="shared" si="80"/>
        <v>7.9672367211428507E-5</v>
      </c>
      <c r="W131" s="98" t="str">
        <f t="shared" si="70"/>
        <v>1-0.000632858521032679i</v>
      </c>
      <c r="X131" s="160">
        <f t="shared" si="81"/>
        <v>1.0000002002549337</v>
      </c>
      <c r="Y131" s="160">
        <f t="shared" si="82"/>
        <v>-6.3285843654399662E-4</v>
      </c>
      <c r="Z131" s="98" t="str">
        <f t="shared" si="71"/>
        <v>0.999999632430075+0.00122072378661459i</v>
      </c>
      <c r="AA131" s="160">
        <f t="shared" si="83"/>
        <v>1.0000003775133528</v>
      </c>
      <c r="AB131" s="160">
        <f t="shared" si="84"/>
        <v>1.2207236289553892E-3</v>
      </c>
      <c r="AC131" s="171" t="str">
        <f t="shared" si="85"/>
        <v>19.2510944696634-41.6049798633953i</v>
      </c>
      <c r="AD131" s="190">
        <f t="shared" si="86"/>
        <v>33.225457175788662</v>
      </c>
      <c r="AE131" s="169">
        <f t="shared" si="87"/>
        <v>-65.16948604028309</v>
      </c>
      <c r="AF131" s="98" t="str">
        <f t="shared" si="72"/>
        <v>-0.0000366300366300366</v>
      </c>
      <c r="AG131" s="98" t="str">
        <f t="shared" si="73"/>
        <v>0.0000584829079704304i</v>
      </c>
      <c r="AH131" s="98">
        <f t="shared" si="88"/>
        <v>5.8482907970430402E-5</v>
      </c>
      <c r="AI131" s="98">
        <f t="shared" si="89"/>
        <v>1.5707963267948966</v>
      </c>
      <c r="AJ131" s="98" t="str">
        <f t="shared" si="74"/>
        <v>1+0.00835294631797789i</v>
      </c>
      <c r="AK131" s="98">
        <f t="shared" si="90"/>
        <v>1.0000348852476053</v>
      </c>
      <c r="AL131" s="98">
        <f t="shared" si="91"/>
        <v>8.3527520596545848E-3</v>
      </c>
      <c r="AM131" s="98" t="str">
        <f t="shared" si="75"/>
        <v>1+0.576353295940473i</v>
      </c>
      <c r="AN131" s="98">
        <f t="shared" si="92"/>
        <v>1.1542023746906114</v>
      </c>
      <c r="AO131" s="98">
        <f t="shared" si="93"/>
        <v>0.52285072286498546</v>
      </c>
      <c r="AP131" s="168" t="str">
        <f t="shared" si="94"/>
        <v>-0.355735081827955+0.629308906274381i</v>
      </c>
      <c r="AQ131" s="98">
        <f t="shared" si="95"/>
        <v>-2.8184958567667429</v>
      </c>
      <c r="AR131" s="169">
        <f t="shared" si="96"/>
        <v>119.47856229519044</v>
      </c>
      <c r="AS131" s="168" t="str">
        <f t="shared" si="97"/>
        <v>19.3340947069575+26.915236121444i</v>
      </c>
      <c r="AT131" s="190">
        <f t="shared" si="98"/>
        <v>30.406961319021914</v>
      </c>
      <c r="AU131" s="169">
        <f t="shared" si="99"/>
        <v>54.309076254907424</v>
      </c>
      <c r="AV131" s="225"/>
      <c r="AX131">
        <f t="shared" si="100"/>
        <v>0</v>
      </c>
      <c r="AY131">
        <f t="shared" si="101"/>
        <v>0</v>
      </c>
    </row>
    <row r="132" spans="14:51" x14ac:dyDescent="0.3">
      <c r="N132" s="170">
        <v>14</v>
      </c>
      <c r="O132" s="199">
        <f t="shared" si="102"/>
        <v>138.0384264602886</v>
      </c>
      <c r="P132" s="189" t="str">
        <f t="shared" si="67"/>
        <v>108.75</v>
      </c>
      <c r="Q132" s="160" t="str">
        <f t="shared" si="68"/>
        <v>1+2.20126073089622i</v>
      </c>
      <c r="R132" s="160">
        <f t="shared" si="77"/>
        <v>2.4177569781484989</v>
      </c>
      <c r="S132" s="160">
        <f t="shared" si="78"/>
        <v>1.1443846097636292</v>
      </c>
      <c r="T132" s="160" t="str">
        <f t="shared" si="69"/>
        <v>1+0.0000815281752183789i</v>
      </c>
      <c r="U132" s="160">
        <f t="shared" si="79"/>
        <v>1.0000000033234215</v>
      </c>
      <c r="V132" s="160">
        <f t="shared" si="80"/>
        <v>8.1528175037743898E-5</v>
      </c>
      <c r="W132" s="98" t="str">
        <f t="shared" si="70"/>
        <v>1-0.000647599689677903i</v>
      </c>
      <c r="X132" s="160">
        <f t="shared" si="81"/>
        <v>1.000000209692657</v>
      </c>
      <c r="Y132" s="160">
        <f t="shared" si="82"/>
        <v>-6.4759959914664983E-4</v>
      </c>
      <c r="Z132" s="98" t="str">
        <f t="shared" si="71"/>
        <v>0.999999615107038+0.00124915809635314i</v>
      </c>
      <c r="AA132" s="160">
        <f t="shared" si="83"/>
        <v>1.0000003953050089</v>
      </c>
      <c r="AB132" s="160">
        <f t="shared" si="84"/>
        <v>1.2491579274182649E-3</v>
      </c>
      <c r="AC132" s="171" t="str">
        <f t="shared" si="85"/>
        <v>18.5295277540118-40.9857278545406i</v>
      </c>
      <c r="AD132" s="190">
        <f t="shared" si="86"/>
        <v>33.060330820643301</v>
      </c>
      <c r="AE132" s="169">
        <f t="shared" si="87"/>
        <v>-65.672413259872386</v>
      </c>
      <c r="AF132" s="98" t="str">
        <f t="shared" si="72"/>
        <v>-0.0000366300366300366</v>
      </c>
      <c r="AG132" s="98" t="str">
        <f t="shared" si="73"/>
        <v>0.0000598451498943418i</v>
      </c>
      <c r="AH132" s="98">
        <f t="shared" si="88"/>
        <v>5.9845149894341799E-5</v>
      </c>
      <c r="AI132" s="98">
        <f t="shared" si="89"/>
        <v>1.5707963267948966</v>
      </c>
      <c r="AJ132" s="98" t="str">
        <f t="shared" si="74"/>
        <v>1+0.00854751143208411i</v>
      </c>
      <c r="AK132" s="98">
        <f t="shared" si="90"/>
        <v>1.0000365293086455</v>
      </c>
      <c r="AL132" s="98">
        <f t="shared" si="91"/>
        <v>8.547303280951133E-3</v>
      </c>
      <c r="AM132" s="98" t="str">
        <f t="shared" si="75"/>
        <v>1+0.589778288813802i</v>
      </c>
      <c r="AN132" s="98">
        <f t="shared" si="92"/>
        <v>1.1609644395743293</v>
      </c>
      <c r="AO132" s="98">
        <f t="shared" si="93"/>
        <v>0.5328696322459634</v>
      </c>
      <c r="AP132" s="168" t="str">
        <f t="shared" si="94"/>
        <v>-0.355733912171266+0.615120928471516i</v>
      </c>
      <c r="AQ132" s="98">
        <f t="shared" si="95"/>
        <v>-2.9677710570597005</v>
      </c>
      <c r="AR132" s="169">
        <f t="shared" si="96"/>
        <v>120.04145655416517</v>
      </c>
      <c r="AS132" s="168" t="str">
        <f t="shared" si="97"/>
        <v>18.6195975733452+25.977913629069i</v>
      </c>
      <c r="AT132" s="190">
        <f t="shared" si="98"/>
        <v>30.092559763583594</v>
      </c>
      <c r="AU132" s="169">
        <f t="shared" si="99"/>
        <v>54.36904329429278</v>
      </c>
      <c r="AV132" s="225"/>
      <c r="AX132">
        <f t="shared" si="100"/>
        <v>0</v>
      </c>
      <c r="AY132">
        <f t="shared" si="101"/>
        <v>0</v>
      </c>
    </row>
    <row r="133" spans="14:51" x14ac:dyDescent="0.3">
      <c r="N133" s="170">
        <v>15</v>
      </c>
      <c r="O133" s="199">
        <f t="shared" si="102"/>
        <v>141.25375446227542</v>
      </c>
      <c r="P133" s="189" t="str">
        <f t="shared" si="67"/>
        <v>108.75</v>
      </c>
      <c r="Q133" s="160" t="str">
        <f t="shared" si="68"/>
        <v>1+2.25253468010891i</v>
      </c>
      <c r="R133" s="160">
        <f t="shared" si="77"/>
        <v>2.4645308854005763</v>
      </c>
      <c r="S133" s="160">
        <f t="shared" si="78"/>
        <v>1.1529896958241133</v>
      </c>
      <c r="T133" s="160" t="str">
        <f t="shared" si="69"/>
        <v>1+0.0000834272103744045i</v>
      </c>
      <c r="U133" s="160">
        <f t="shared" si="79"/>
        <v>1.0000000034800496</v>
      </c>
      <c r="V133" s="160">
        <f t="shared" si="80"/>
        <v>8.3427210180850615E-5</v>
      </c>
      <c r="W133" s="98" t="str">
        <f t="shared" si="70"/>
        <v>1-0.000662684224250589i</v>
      </c>
      <c r="X133" s="160">
        <f t="shared" si="81"/>
        <v>1.0000002195751665</v>
      </c>
      <c r="Y133" s="160">
        <f t="shared" si="82"/>
        <v>-6.6268412724460469E-4</v>
      </c>
      <c r="Z133" s="98" t="str">
        <f t="shared" si="71"/>
        <v>0.999999596967592+0.00127825472624894i</v>
      </c>
      <c r="AA133" s="160">
        <f t="shared" si="83"/>
        <v>1.0000004139351601</v>
      </c>
      <c r="AB133" s="160">
        <f t="shared" si="84"/>
        <v>1.2782545452319615E-3</v>
      </c>
      <c r="AC133" s="171" t="str">
        <f t="shared" si="85"/>
        <v>17.8294913519235-40.3635518157115i</v>
      </c>
      <c r="AD133" s="190">
        <f t="shared" si="86"/>
        <v>32.893898352860155</v>
      </c>
      <c r="AE133" s="169">
        <f t="shared" si="87"/>
        <v>-66.167870959980988</v>
      </c>
      <c r="AF133" s="98" t="str">
        <f t="shared" si="72"/>
        <v>-0.0000366300366300366</v>
      </c>
      <c r="AG133" s="98" t="str">
        <f t="shared" si="73"/>
        <v>0.0000612391225088712i</v>
      </c>
      <c r="AH133" s="98">
        <f t="shared" si="88"/>
        <v>6.1239122508871199E-5</v>
      </c>
      <c r="AI133" s="98">
        <f t="shared" si="89"/>
        <v>1.5707963267948966</v>
      </c>
      <c r="AJ133" s="98" t="str">
        <f t="shared" si="74"/>
        <v>1+0.0087466085498913i</v>
      </c>
      <c r="AK133" s="98">
        <f t="shared" si="90"/>
        <v>1.0000382508489987</v>
      </c>
      <c r="AL133" s="98">
        <f t="shared" si="91"/>
        <v>8.7463855123946586E-3</v>
      </c>
      <c r="AM133" s="98" t="str">
        <f t="shared" si="75"/>
        <v>1+0.603515989942498i</v>
      </c>
      <c r="AN133" s="98">
        <f t="shared" si="92"/>
        <v>1.1680032320658507</v>
      </c>
      <c r="AO133" s="98">
        <f t="shared" si="93"/>
        <v>0.54300077724643714</v>
      </c>
      <c r="AP133" s="168" t="str">
        <f t="shared" si="94"/>
        <v>-0.355732687398599+0.601259094984487i</v>
      </c>
      <c r="AQ133" s="98">
        <f t="shared" si="95"/>
        <v>-3.1152834681098431</v>
      </c>
      <c r="AR133" s="169">
        <f t="shared" si="96"/>
        <v>120.61052183268963</v>
      </c>
      <c r="AS133" s="168" t="str">
        <f t="shared" si="97"/>
        <v>17.9264197615043+25.0787785946469i</v>
      </c>
      <c r="AT133" s="190">
        <f t="shared" si="98"/>
        <v>29.778614884750304</v>
      </c>
      <c r="AU133" s="169">
        <f t="shared" si="99"/>
        <v>54.442650872708654</v>
      </c>
      <c r="AV133" s="225"/>
      <c r="AX133">
        <f t="shared" si="100"/>
        <v>0</v>
      </c>
      <c r="AY133">
        <f t="shared" si="101"/>
        <v>0</v>
      </c>
    </row>
    <row r="134" spans="14:51" x14ac:dyDescent="0.3">
      <c r="N134" s="170">
        <v>16</v>
      </c>
      <c r="O134" s="199">
        <f t="shared" si="102"/>
        <v>144.54397707459285</v>
      </c>
      <c r="P134" s="189" t="str">
        <f t="shared" si="67"/>
        <v>108.75</v>
      </c>
      <c r="Q134" s="160" t="str">
        <f t="shared" si="68"/>
        <v>1+2.30500295302482i</v>
      </c>
      <c r="R134" s="160">
        <f t="shared" si="77"/>
        <v>2.5125760910772712</v>
      </c>
      <c r="S134" s="160">
        <f t="shared" si="78"/>
        <v>1.1614629157275507</v>
      </c>
      <c r="T134" s="160" t="str">
        <f t="shared" si="69"/>
        <v>1+0.0000853704797416604i</v>
      </c>
      <c r="U134" s="160">
        <f t="shared" si="79"/>
        <v>1.0000000036440593</v>
      </c>
      <c r="V134" s="160">
        <f t="shared" si="80"/>
        <v>8.5370479534263661E-5</v>
      </c>
      <c r="W134" s="98" t="str">
        <f t="shared" si="70"/>
        <v>1-0.000678120122770636i</v>
      </c>
      <c r="X134" s="160">
        <f t="shared" si="81"/>
        <v>1.0000002299234241</v>
      </c>
      <c r="Y134" s="160">
        <f t="shared" si="82"/>
        <v>-6.7812001882685245E-4</v>
      </c>
      <c r="Z134" s="98" t="str">
        <f t="shared" si="71"/>
        <v>0.99999957797326+0.00130802910372029i</v>
      </c>
      <c r="AA134" s="160">
        <f t="shared" si="83"/>
        <v>1.0000004334433232</v>
      </c>
      <c r="AB134" s="160">
        <f t="shared" si="84"/>
        <v>1.3080289097571051E-3</v>
      </c>
      <c r="AC134" s="171" t="str">
        <f t="shared" si="85"/>
        <v>17.150745061518-39.7392275039206i</v>
      </c>
      <c r="AD134" s="190">
        <f t="shared" si="86"/>
        <v>32.726199119628106</v>
      </c>
      <c r="AE134" s="169">
        <f t="shared" si="87"/>
        <v>-66.655829715067455</v>
      </c>
      <c r="AF134" s="98" t="str">
        <f t="shared" si="72"/>
        <v>-0.0000366300366300366</v>
      </c>
      <c r="AG134" s="98" t="str">
        <f t="shared" si="73"/>
        <v>0.0000626655649167505i</v>
      </c>
      <c r="AH134" s="98">
        <f t="shared" si="88"/>
        <v>6.2665564916750501E-5</v>
      </c>
      <c r="AI134" s="98">
        <f t="shared" si="89"/>
        <v>1.5707963267948966</v>
      </c>
      <c r="AJ134" s="98" t="str">
        <f t="shared" si="74"/>
        <v>1+0.0089503432353267i</v>
      </c>
      <c r="AK134" s="98">
        <f t="shared" si="90"/>
        <v>1.0000400535198728</v>
      </c>
      <c r="AL134" s="98">
        <f t="shared" si="91"/>
        <v>8.9501042468602254E-3</v>
      </c>
      <c r="AM134" s="98" t="str">
        <f t="shared" si="75"/>
        <v>1+0.617573683237541i</v>
      </c>
      <c r="AN134" s="98">
        <f t="shared" si="92"/>
        <v>1.175328572879764</v>
      </c>
      <c r="AO134" s="98">
        <f t="shared" si="93"/>
        <v>0.55324121013128658</v>
      </c>
      <c r="AP134" s="168" t="str">
        <f t="shared" si="94"/>
        <v>-0.355731404913215+0.5877160560183i</v>
      </c>
      <c r="AQ134" s="98">
        <f t="shared" si="95"/>
        <v>-3.2609941318730233</v>
      </c>
      <c r="AR134" s="169">
        <f t="shared" si="96"/>
        <v>121.18558319368584</v>
      </c>
      <c r="AS134" s="168" t="str">
        <f t="shared" si="97"/>
        <v>17.254323421776+24.2162594754662i</v>
      </c>
      <c r="AT134" s="190">
        <f t="shared" si="98"/>
        <v>29.465204987755076</v>
      </c>
      <c r="AU134" s="169">
        <f t="shared" si="99"/>
        <v>54.529753478618325</v>
      </c>
      <c r="AV134" s="225"/>
      <c r="AX134">
        <f t="shared" si="100"/>
        <v>0</v>
      </c>
      <c r="AY134">
        <f t="shared" si="101"/>
        <v>0</v>
      </c>
    </row>
    <row r="135" spans="14:51" x14ac:dyDescent="0.3">
      <c r="N135" s="170">
        <v>17</v>
      </c>
      <c r="O135" s="199">
        <f t="shared" si="102"/>
        <v>147.91083881682084</v>
      </c>
      <c r="P135" s="189" t="str">
        <f t="shared" si="67"/>
        <v>108.75</v>
      </c>
      <c r="Q135" s="160" t="str">
        <f t="shared" si="68"/>
        <v>1+2.35869336901675i</v>
      </c>
      <c r="R135" s="160">
        <f t="shared" si="77"/>
        <v>2.5619200629690981</v>
      </c>
      <c r="S135" s="160">
        <f t="shared" si="78"/>
        <v>1.169803894329851</v>
      </c>
      <c r="T135" s="160" t="str">
        <f t="shared" si="69"/>
        <v>1+0.0000873590136672872i</v>
      </c>
      <c r="U135" s="160">
        <f t="shared" si="79"/>
        <v>1.0000000038157986</v>
      </c>
      <c r="V135" s="160">
        <f t="shared" si="80"/>
        <v>8.735901344505761E-5</v>
      </c>
      <c r="W135" s="98" t="str">
        <f t="shared" si="70"/>
        <v>1-0.000693915569555757i</v>
      </c>
      <c r="X135" s="160">
        <f t="shared" si="81"/>
        <v>1.0000002407593798</v>
      </c>
      <c r="Y135" s="160">
        <f t="shared" si="82"/>
        <v>-6.9391545817798766E-4</v>
      </c>
      <c r="Z135" s="98" t="str">
        <f t="shared" si="71"/>
        <v>0.999999558083752+0.00133849701553625i</v>
      </c>
      <c r="AA135" s="160">
        <f t="shared" si="83"/>
        <v>1.0000004538708769</v>
      </c>
      <c r="AB135" s="160">
        <f t="shared" si="84"/>
        <v>1.3384968077009562E-3</v>
      </c>
      <c r="AC135" s="171" t="str">
        <f t="shared" si="85"/>
        <v>16.4930193045123-39.1134996321751i</v>
      </c>
      <c r="AD135" s="190">
        <f t="shared" si="86"/>
        <v>32.557271999345616</v>
      </c>
      <c r="AE135" s="169">
        <f t="shared" si="87"/>
        <v>-67.136269345360844</v>
      </c>
      <c r="AF135" s="98" t="str">
        <f t="shared" si="72"/>
        <v>-0.0000366300366300366</v>
      </c>
      <c r="AG135" s="98" t="str">
        <f t="shared" si="73"/>
        <v>0.0000641252334366255i</v>
      </c>
      <c r="AH135" s="98">
        <f t="shared" si="88"/>
        <v>6.4125233436625499E-5</v>
      </c>
      <c r="AI135" s="98">
        <f t="shared" si="89"/>
        <v>1.5707963267948966</v>
      </c>
      <c r="AJ135" s="98" t="str">
        <f t="shared" si="74"/>
        <v>1+0.00915882351121727i</v>
      </c>
      <c r="AK135" s="98">
        <f t="shared" si="90"/>
        <v>1.0000419411445249</v>
      </c>
      <c r="AL135" s="98">
        <f t="shared" si="91"/>
        <v>9.1585674310417572E-3</v>
      </c>
      <c r="AM135" s="98" t="str">
        <f t="shared" si="75"/>
        <v>1+0.63195882227399i</v>
      </c>
      <c r="AN135" s="98">
        <f t="shared" si="92"/>
        <v>1.1829505285724879</v>
      </c>
      <c r="AO135" s="98">
        <f t="shared" si="93"/>
        <v>0.56358776906002517</v>
      </c>
      <c r="AP135" s="168" t="str">
        <f t="shared" si="94"/>
        <v>-0.355730061996067+0.574484630802208i</v>
      </c>
      <c r="AQ135" s="98">
        <f t="shared" si="95"/>
        <v>-3.4048647581909632</v>
      </c>
      <c r="AR135" s="169">
        <f t="shared" si="96"/>
        <v>121.76645329214861</v>
      </c>
      <c r="AS135" s="168" t="str">
        <f t="shared" si="97"/>
        <v>16.6030416158759+23.3888337550032i</v>
      </c>
      <c r="AT135" s="190">
        <f t="shared" si="98"/>
        <v>29.152407241154641</v>
      </c>
      <c r="AU135" s="169">
        <f t="shared" si="99"/>
        <v>54.630183946787767</v>
      </c>
      <c r="AV135" s="225"/>
      <c r="AX135">
        <f t="shared" si="100"/>
        <v>0</v>
      </c>
      <c r="AY135">
        <f t="shared" si="101"/>
        <v>0</v>
      </c>
    </row>
    <row r="136" spans="14:51" x14ac:dyDescent="0.3">
      <c r="N136" s="170">
        <v>18</v>
      </c>
      <c r="O136" s="199">
        <f t="shared" si="102"/>
        <v>151.3561248436209</v>
      </c>
      <c r="P136" s="189" t="str">
        <f t="shared" si="67"/>
        <v>108.75</v>
      </c>
      <c r="Q136" s="160" t="str">
        <f t="shared" si="68"/>
        <v>1+2.41363439545392i</v>
      </c>
      <c r="R136" s="160">
        <f t="shared" si="77"/>
        <v>2.6125908586914655</v>
      </c>
      <c r="S136" s="160">
        <f t="shared" si="78"/>
        <v>1.1780124106935446</v>
      </c>
      <c r="T136" s="160" t="str">
        <f t="shared" si="69"/>
        <v>1+0.0000893938664982935i</v>
      </c>
      <c r="U136" s="160">
        <f t="shared" si="79"/>
        <v>1.0000000039956316</v>
      </c>
      <c r="V136" s="160">
        <f t="shared" si="80"/>
        <v>8.9393866260170193E-5</v>
      </c>
      <c r="W136" s="98" t="str">
        <f t="shared" si="70"/>
        <v>1-0.000710078939560914i</v>
      </c>
      <c r="X136" s="160">
        <f t="shared" si="81"/>
        <v>1.0000002521060185</v>
      </c>
      <c r="Y136" s="160">
        <f t="shared" si="82"/>
        <v>-7.1007882021748567E-4</v>
      </c>
      <c r="Z136" s="98" t="str">
        <f t="shared" si="71"/>
        <v>0.999999537256881+0.00136967461618695i</v>
      </c>
      <c r="AA136" s="160">
        <f t="shared" si="83"/>
        <v>1.0000004752611522</v>
      </c>
      <c r="AB136" s="160">
        <f t="shared" si="84"/>
        <v>1.3696743934874234E-3</v>
      </c>
      <c r="AC136" s="171" t="str">
        <f t="shared" si="85"/>
        <v>15.8560177545823-38.4870812160718i</v>
      </c>
      <c r="AD136" s="190">
        <f t="shared" si="86"/>
        <v>32.387155350061526</v>
      </c>
      <c r="AE136" s="169">
        <f t="shared" si="87"/>
        <v>-67.609178537094863</v>
      </c>
      <c r="AF136" s="98" t="str">
        <f t="shared" si="72"/>
        <v>-0.0000366300366300366</v>
      </c>
      <c r="AG136" s="98" t="str">
        <f t="shared" si="73"/>
        <v>0.0000656189020040664i</v>
      </c>
      <c r="AH136" s="98">
        <f t="shared" si="88"/>
        <v>6.5618902004066404E-5</v>
      </c>
      <c r="AI136" s="98">
        <f t="shared" si="89"/>
        <v>1.5707963267948966</v>
      </c>
      <c r="AJ136" s="98" t="str">
        <f t="shared" si="74"/>
        <v>1+0.00937215991656484i</v>
      </c>
      <c r="AK136" s="98">
        <f t="shared" si="90"/>
        <v>1.0000439177263676</v>
      </c>
      <c r="AL136" s="98">
        <f t="shared" si="91"/>
        <v>9.3718855223639073E-3</v>
      </c>
      <c r="AM136" s="98" t="str">
        <f t="shared" si="75"/>
        <v>1+0.646679034242972i</v>
      </c>
      <c r="AN136" s="98">
        <f t="shared" si="92"/>
        <v>1.1908794117497468</v>
      </c>
      <c r="AO136" s="98">
        <f t="shared" si="93"/>
        <v>0.57403707866975107</v>
      </c>
      <c r="AP136" s="168" t="str">
        <f t="shared" si="94"/>
        <v>-0.35572865580005+0.561557803782051i</v>
      </c>
      <c r="AQ136" s="98">
        <f t="shared" si="95"/>
        <v>-3.5468578364209242</v>
      </c>
      <c r="AR136" s="169">
        <f t="shared" si="96"/>
        <v>122.35293240528469</v>
      </c>
      <c r="AS136" s="168" t="str">
        <f t="shared" si="97"/>
        <v>15.9722809194994+22.595028173653i</v>
      </c>
      <c r="AT136" s="190">
        <f t="shared" si="98"/>
        <v>28.840297513640593</v>
      </c>
      <c r="AU136" s="169">
        <f t="shared" si="99"/>
        <v>54.743753868189849</v>
      </c>
      <c r="AV136" s="225"/>
      <c r="AX136">
        <f t="shared" si="100"/>
        <v>0</v>
      </c>
      <c r="AY136">
        <f t="shared" si="101"/>
        <v>0</v>
      </c>
    </row>
    <row r="137" spans="14:51" x14ac:dyDescent="0.3">
      <c r="N137" s="170">
        <v>19</v>
      </c>
      <c r="O137" s="199">
        <f t="shared" si="102"/>
        <v>154.8816618912482</v>
      </c>
      <c r="P137" s="189" t="str">
        <f t="shared" si="67"/>
        <v>108.75</v>
      </c>
      <c r="Q137" s="160" t="str">
        <f t="shared" si="68"/>
        <v>1+2.46985516279579i</v>
      </c>
      <c r="R137" s="160">
        <f t="shared" si="77"/>
        <v>2.6646171442045885</v>
      </c>
      <c r="S137" s="160">
        <f t="shared" si="78"/>
        <v>1.186088391330516</v>
      </c>
      <c r="T137" s="160" t="str">
        <f t="shared" si="69"/>
        <v>1+0.000091476117140585i</v>
      </c>
      <c r="U137" s="160">
        <f t="shared" si="79"/>
        <v>1.0000000041839399</v>
      </c>
      <c r="V137" s="160">
        <f t="shared" si="80"/>
        <v>9.1476116885431269E-5</v>
      </c>
      <c r="W137" s="98" t="str">
        <f t="shared" si="70"/>
        <v>1-0.000726618802818832i</v>
      </c>
      <c r="X137" s="160">
        <f t="shared" si="81"/>
        <v>1.0000002639874075</v>
      </c>
      <c r="Y137" s="160">
        <f t="shared" si="82"/>
        <v>-7.2661867494004629E-4</v>
      </c>
      <c r="Z137" s="98" t="str">
        <f t="shared" si="71"/>
        <v>0.99999951544847+0.00140157843644894i</v>
      </c>
      <c r="AA137" s="160">
        <f t="shared" si="83"/>
        <v>1.0000004976595205</v>
      </c>
      <c r="AB137" s="160">
        <f t="shared" si="84"/>
        <v>1.4015781978221013E-3</v>
      </c>
      <c r="AC137" s="171" t="str">
        <f t="shared" si="85"/>
        <v>15.2394199093784-37.8606531194284i</v>
      </c>
      <c r="AD137" s="190">
        <f t="shared" si="86"/>
        <v>32.215886962696551</v>
      </c>
      <c r="AE137" s="169">
        <f t="shared" si="87"/>
        <v>-68.074554456058138</v>
      </c>
      <c r="AF137" s="98" t="str">
        <f t="shared" si="72"/>
        <v>-0.0000366300366300366</v>
      </c>
      <c r="AG137" s="98" t="str">
        <f t="shared" si="73"/>
        <v>0.0000671473625819186i</v>
      </c>
      <c r="AH137" s="98">
        <f t="shared" si="88"/>
        <v>6.7147362581918604E-5</v>
      </c>
      <c r="AI137" s="98">
        <f t="shared" si="89"/>
        <v>1.5707963267948966</v>
      </c>
      <c r="AJ137" s="98" t="str">
        <f t="shared" si="74"/>
        <v>1+0.00959046556515537i</v>
      </c>
      <c r="AK137" s="98">
        <f t="shared" si="90"/>
        <v>1.0000459874574552</v>
      </c>
      <c r="AL137" s="98">
        <f t="shared" si="91"/>
        <v>9.5901715472020508E-3</v>
      </c>
      <c r="AM137" s="98" t="str">
        <f t="shared" si="75"/>
        <v>1+0.661742123995719i</v>
      </c>
      <c r="AN137" s="98">
        <f t="shared" si="92"/>
        <v>1.1991257810047975</v>
      </c>
      <c r="AO137" s="98">
        <f t="shared" si="93"/>
        <v>0.58458555154385139</v>
      </c>
      <c r="AP137" s="168" t="str">
        <f t="shared" si="94"/>
        <v>-0.355727183343973+0.548928720900113i</v>
      </c>
      <c r="AQ137" s="98">
        <f t="shared" si="95"/>
        <v>-3.6869367487333164</v>
      </c>
      <c r="AR137" s="169">
        <f t="shared" si="96"/>
        <v>122.94480851332905</v>
      </c>
      <c r="AS137" s="168" t="str">
        <f t="shared" si="97"/>
        <v>15.3617239691315+21.8334187718523i</v>
      </c>
      <c r="AT137" s="190">
        <f t="shared" si="98"/>
        <v>28.528950213963245</v>
      </c>
      <c r="AU137" s="169">
        <f t="shared" si="99"/>
        <v>54.870254057270891</v>
      </c>
      <c r="AV137" s="225"/>
      <c r="AX137">
        <f t="shared" si="100"/>
        <v>0</v>
      </c>
      <c r="AY137">
        <f t="shared" si="101"/>
        <v>0</v>
      </c>
    </row>
    <row r="138" spans="14:51" x14ac:dyDescent="0.3">
      <c r="N138" s="170">
        <v>20</v>
      </c>
      <c r="O138" s="199">
        <f t="shared" si="102"/>
        <v>158.48931924611153</v>
      </c>
      <c r="P138" s="189" t="str">
        <f t="shared" si="67"/>
        <v>108.75</v>
      </c>
      <c r="Q138" s="160" t="str">
        <f t="shared" si="68"/>
        <v>1+2.52738548003737i</v>
      </c>
      <c r="R138" s="160">
        <f t="shared" si="77"/>
        <v>2.7180282126393993</v>
      </c>
      <c r="S138" s="160">
        <f t="shared" si="78"/>
        <v>1.1940319033684881</v>
      </c>
      <c r="T138" s="160" t="str">
        <f t="shared" si="69"/>
        <v>1+0.0000936068696310141i</v>
      </c>
      <c r="U138" s="160">
        <f t="shared" si="79"/>
        <v>1.000000004381123</v>
      </c>
      <c r="V138" s="160">
        <f t="shared" si="80"/>
        <v>9.3606869357611966E-5</v>
      </c>
      <c r="W138" s="98" t="str">
        <f t="shared" si="70"/>
        <v>1-0.000743543928983943i</v>
      </c>
      <c r="X138" s="160">
        <f t="shared" si="81"/>
        <v>1.000000276428749</v>
      </c>
      <c r="Y138" s="160">
        <f t="shared" si="82"/>
        <v>-7.4354379195935741E-4</v>
      </c>
      <c r="Z138" s="98" t="str">
        <f t="shared" si="71"/>
        <v>0.99999949261226+0.00143422539215001i</v>
      </c>
      <c r="AA138" s="160">
        <f t="shared" si="83"/>
        <v>1.0000005211134908</v>
      </c>
      <c r="AB138" s="160">
        <f t="shared" si="84"/>
        <v>1.4342251364567492E-3</v>
      </c>
      <c r="AC138" s="171" t="str">
        <f t="shared" si="85"/>
        <v>14.6428835935943-37.2348637856984i</v>
      </c>
      <c r="AD138" s="190">
        <f t="shared" si="86"/>
        <v>32.043504018928658</v>
      </c>
      <c r="AE138" s="169">
        <f t="shared" si="87"/>
        <v>-68.532402356792161</v>
      </c>
      <c r="AF138" s="98" t="str">
        <f t="shared" si="72"/>
        <v>-0.0000366300366300366</v>
      </c>
      <c r="AG138" s="98" t="str">
        <f t="shared" si="73"/>
        <v>0.0000687114255802123i</v>
      </c>
      <c r="AH138" s="98">
        <f t="shared" si="88"/>
        <v>6.8711425580212306E-5</v>
      </c>
      <c r="AI138" s="98">
        <f t="shared" si="89"/>
        <v>1.5707963267948966</v>
      </c>
      <c r="AJ138" s="98" t="str">
        <f t="shared" si="74"/>
        <v>1+0.00981385620553339i</v>
      </c>
      <c r="AK138" s="98">
        <f t="shared" si="90"/>
        <v>1.0000481547273725</v>
      </c>
      <c r="AL138" s="98">
        <f t="shared" si="91"/>
        <v>9.8135411604396428E-3</v>
      </c>
      <c r="AM138" s="98" t="str">
        <f t="shared" si="75"/>
        <v>1+0.677156078181802i</v>
      </c>
      <c r="AN138" s="98">
        <f t="shared" si="92"/>
        <v>1.2077004405971534</v>
      </c>
      <c r="AO138" s="98">
        <f t="shared" si="93"/>
        <v>0.59522939060112601</v>
      </c>
      <c r="AP138" s="168" t="str">
        <f t="shared" si="94"/>
        <v>-0.355725641506244+0.536590685960652i</v>
      </c>
      <c r="AQ138" s="98">
        <f t="shared" si="95"/>
        <v>-3.8250658844752956</v>
      </c>
      <c r="AR138" s="169">
        <f t="shared" si="96"/>
        <v>123.54185743301721</v>
      </c>
      <c r="AS138" s="168" t="str">
        <f t="shared" si="97"/>
        <v>14.7710319405868+21.1026307584939i</v>
      </c>
      <c r="AT138" s="190">
        <f t="shared" si="98"/>
        <v>28.218438134453365</v>
      </c>
      <c r="AU138" s="169">
        <f t="shared" si="99"/>
        <v>55.009455076224953</v>
      </c>
      <c r="AV138" s="225"/>
      <c r="AX138">
        <f t="shared" si="100"/>
        <v>0</v>
      </c>
      <c r="AY138">
        <f t="shared" si="101"/>
        <v>0</v>
      </c>
    </row>
    <row r="139" spans="14:51" x14ac:dyDescent="0.3">
      <c r="N139" s="170">
        <v>21</v>
      </c>
      <c r="O139" s="199">
        <f t="shared" si="102"/>
        <v>162.18100973589304</v>
      </c>
      <c r="P139" s="189" t="str">
        <f t="shared" si="67"/>
        <v>108.75</v>
      </c>
      <c r="Q139" s="160" t="str">
        <f t="shared" si="68"/>
        <v>1+2.58625585051437i</v>
      </c>
      <c r="R139" s="160">
        <f t="shared" si="77"/>
        <v>2.7728540034267595</v>
      </c>
      <c r="S139" s="160">
        <f t="shared" si="78"/>
        <v>1.2018431476791498</v>
      </c>
      <c r="T139" s="160" t="str">
        <f t="shared" si="69"/>
        <v>1+0.0000957872537227546i</v>
      </c>
      <c r="U139" s="160">
        <f t="shared" si="79"/>
        <v>1.000000004587599</v>
      </c>
      <c r="V139" s="160">
        <f t="shared" si="80"/>
        <v>9.5787253429798925E-5</v>
      </c>
      <c r="W139" s="98" t="str">
        <f t="shared" si="70"/>
        <v>1-0.000760863291982165i</v>
      </c>
      <c r="X139" s="160">
        <f t="shared" si="81"/>
        <v>1.0000002894564326</v>
      </c>
      <c r="Y139" s="160">
        <f t="shared" si="82"/>
        <v>-7.608631451576786E-4</v>
      </c>
      <c r="Z139" s="98" t="str">
        <f t="shared" si="71"/>
        <v>0.999999468699812+0.00146763279313822i</v>
      </c>
      <c r="AA139" s="160">
        <f t="shared" si="83"/>
        <v>1.0000005456728123</v>
      </c>
      <c r="AB139" s="160">
        <f t="shared" si="84"/>
        <v>1.4676325191579596E-3</v>
      </c>
      <c r="AC139" s="171" t="str">
        <f t="shared" si="85"/>
        <v>14.0660473822803-36.6103291415362i</v>
      </c>
      <c r="AD139" s="190">
        <f t="shared" si="86"/>
        <v>31.870043053607063</v>
      </c>
      <c r="AE139" s="169">
        <f t="shared" si="87"/>
        <v>-68.982735189609201</v>
      </c>
      <c r="AF139" s="98" t="str">
        <f t="shared" si="72"/>
        <v>-0.0000366300366300366</v>
      </c>
      <c r="AG139" s="98" t="str">
        <f t="shared" si="73"/>
        <v>0.0000703119202858518i</v>
      </c>
      <c r="AH139" s="98">
        <f t="shared" si="88"/>
        <v>7.0311920285851795E-5</v>
      </c>
      <c r="AI139" s="98">
        <f t="shared" si="89"/>
        <v>1.5707963267948966</v>
      </c>
      <c r="AJ139" s="98" t="str">
        <f t="shared" si="74"/>
        <v>1+0.0100424502823733i</v>
      </c>
      <c r="AK139" s="98">
        <f t="shared" si="90"/>
        <v>1.0000504241325403</v>
      </c>
      <c r="AL139" s="98">
        <f t="shared" si="91"/>
        <v>1.0042112706392617E-2</v>
      </c>
      <c r="AM139" s="98" t="str">
        <f t="shared" si="75"/>
        <v>1+0.692929069483754i</v>
      </c>
      <c r="AN139" s="98">
        <f t="shared" si="92"/>
        <v>1.2166144398845598</v>
      </c>
      <c r="AO139" s="98">
        <f t="shared" si="93"/>
        <v>0.60596459243409617</v>
      </c>
      <c r="AP139" s="168" t="str">
        <f t="shared" si="94"/>
        <v>-0.355724027018266+0.524537157079025i</v>
      </c>
      <c r="AQ139" s="98">
        <f t="shared" si="95"/>
        <v>-3.9612107549581523</v>
      </c>
      <c r="AR139" s="169">
        <f t="shared" si="96"/>
        <v>124.1438430053678</v>
      </c>
      <c r="AS139" s="168" t="str">
        <f t="shared" si="97"/>
        <v>14.1998469485743+20.4013382179316i</v>
      </c>
      <c r="AT139" s="190">
        <f t="shared" si="98"/>
        <v>27.908832298648917</v>
      </c>
      <c r="AU139" s="169">
        <f t="shared" si="99"/>
        <v>55.161107815758598</v>
      </c>
      <c r="AV139" s="225"/>
      <c r="AX139">
        <f t="shared" si="100"/>
        <v>0</v>
      </c>
      <c r="AY139">
        <f t="shared" si="101"/>
        <v>0</v>
      </c>
    </row>
    <row r="140" spans="14:51" x14ac:dyDescent="0.3">
      <c r="N140" s="170">
        <v>22</v>
      </c>
      <c r="O140" s="199">
        <f t="shared" si="102"/>
        <v>165.95869074375622</v>
      </c>
      <c r="P140" s="189" t="str">
        <f t="shared" si="67"/>
        <v>108.75</v>
      </c>
      <c r="Q140" s="160" t="str">
        <f t="shared" si="68"/>
        <v>1+2.64649748807646i</v>
      </c>
      <c r="R140" s="160">
        <f t="shared" si="77"/>
        <v>2.829125121728449</v>
      </c>
      <c r="S140" s="160">
        <f t="shared" si="78"/>
        <v>1.2095224520028658</v>
      </c>
      <c r="T140" s="160" t="str">
        <f t="shared" si="69"/>
        <v>1+0.0000980184254843137i</v>
      </c>
      <c r="U140" s="160">
        <f t="shared" si="79"/>
        <v>1.0000000048038058</v>
      </c>
      <c r="V140" s="160">
        <f t="shared" si="80"/>
        <v>9.8018425170406039E-5</v>
      </c>
      <c r="W140" s="98" t="str">
        <f t="shared" si="70"/>
        <v>1-0.000778586074769017i</v>
      </c>
      <c r="X140" s="160">
        <f t="shared" si="81"/>
        <v>1.000000303098092</v>
      </c>
      <c r="Y140" s="160">
        <f t="shared" si="82"/>
        <v>-7.7858591744374786E-4</v>
      </c>
      <c r="Z140" s="98" t="str">
        <f t="shared" si="71"/>
        <v>0.999999443660406+0.00150181835245977i</v>
      </c>
      <c r="AA140" s="160">
        <f t="shared" si="83"/>
        <v>1.0000005713895794</v>
      </c>
      <c r="AB140" s="160">
        <f t="shared" si="84"/>
        <v>1.5018180588846361E-3</v>
      </c>
      <c r="AC140" s="171" t="str">
        <f t="shared" si="85"/>
        <v>13.5085329353141-35.9876326586645i</v>
      </c>
      <c r="AD140" s="190">
        <f t="shared" si="86"/>
        <v>31.695539921538291</v>
      </c>
      <c r="AE140" s="169">
        <f t="shared" si="87"/>
        <v>-69.425573207430617</v>
      </c>
      <c r="AF140" s="98" t="str">
        <f t="shared" si="72"/>
        <v>-0.0000366300366300366</v>
      </c>
      <c r="AG140" s="98" t="str">
        <f t="shared" si="73"/>
        <v>0.0000719496953023152i</v>
      </c>
      <c r="AH140" s="98">
        <f t="shared" si="88"/>
        <v>7.1949695302315206E-5</v>
      </c>
      <c r="AI140" s="98">
        <f t="shared" si="89"/>
        <v>1.5707963267948966</v>
      </c>
      <c r="AJ140" s="98" t="str">
        <f t="shared" si="74"/>
        <v>1+0.0102763689992805i</v>
      </c>
      <c r="AK140" s="98">
        <f t="shared" si="90"/>
        <v>1.000052800485959</v>
      </c>
      <c r="AL140" s="98">
        <f t="shared" si="91"/>
        <v>1.0276007281131663E-2</v>
      </c>
      <c r="AM140" s="98" t="str">
        <f t="shared" si="75"/>
        <v>1+0.709069460950351i</v>
      </c>
      <c r="AN140" s="98">
        <f t="shared" si="92"/>
        <v>1.2258790725240485</v>
      </c>
      <c r="AO140" s="98">
        <f t="shared" si="93"/>
        <v>0.61678695161868458</v>
      </c>
      <c r="AP140" s="168" t="str">
        <f t="shared" si="94"/>
        <v>-0.355722336457522+0.512761743212681i</v>
      </c>
      <c r="AQ140" s="98">
        <f t="shared" si="95"/>
        <v>-4.0953381079846114</v>
      </c>
      <c r="AR140" s="169">
        <f t="shared" si="96"/>
        <v>124.75051733903577</v>
      </c>
      <c r="AS140" s="168" t="str">
        <f t="shared" si="97"/>
        <v>13.6477943582911+19.7282636690727i</v>
      </c>
      <c r="AT140" s="190">
        <f t="shared" si="98"/>
        <v>27.600201813553667</v>
      </c>
      <c r="AU140" s="169">
        <f t="shared" si="99"/>
        <v>55.324944131605115</v>
      </c>
      <c r="AV140" s="225"/>
      <c r="AX140">
        <f t="shared" si="100"/>
        <v>0</v>
      </c>
      <c r="AY140">
        <f t="shared" si="101"/>
        <v>0</v>
      </c>
    </row>
    <row r="141" spans="14:51" x14ac:dyDescent="0.3">
      <c r="N141" s="170">
        <v>23</v>
      </c>
      <c r="O141" s="199">
        <f t="shared" si="102"/>
        <v>169.82436524617444</v>
      </c>
      <c r="P141" s="189" t="str">
        <f t="shared" si="67"/>
        <v>108.75</v>
      </c>
      <c r="Q141" s="160" t="str">
        <f t="shared" si="68"/>
        <v>1+2.70814233363725i</v>
      </c>
      <c r="R141" s="160">
        <f t="shared" si="77"/>
        <v>2.8868728581699283</v>
      </c>
      <c r="S141" s="160">
        <f t="shared" si="78"/>
        <v>1.2170702641019966</v>
      </c>
      <c r="T141" s="160" t="str">
        <f t="shared" si="69"/>
        <v>1+0.000100301567912491i</v>
      </c>
      <c r="U141" s="160">
        <f t="shared" si="79"/>
        <v>1.0000000050302023</v>
      </c>
      <c r="V141" s="160">
        <f t="shared" si="80"/>
        <v>1.0030156757613289E-4</v>
      </c>
      <c r="W141" s="98" t="str">
        <f t="shared" si="70"/>
        <v>1-0.000796721674198511i</v>
      </c>
      <c r="X141" s="160">
        <f t="shared" si="81"/>
        <v>1.0000003173826628</v>
      </c>
      <c r="Y141" s="160">
        <f t="shared" si="82"/>
        <v>-7.9672150562145076E-4</v>
      </c>
      <c r="Z141" s="98" t="str">
        <f t="shared" si="71"/>
        <v>0.999999417440929+0.00153680019575071i</v>
      </c>
      <c r="AA141" s="160">
        <f t="shared" si="83"/>
        <v>1.0000005983183406</v>
      </c>
      <c r="AB141" s="160">
        <f t="shared" si="84"/>
        <v>1.5367998811792914E-3</v>
      </c>
      <c r="AC141" s="171" t="str">
        <f t="shared" si="85"/>
        <v>12.9699472355807-35.3673255601809i</v>
      </c>
      <c r="AD141" s="190">
        <f t="shared" si="86"/>
        <v>31.520029768474593</v>
      </c>
      <c r="AE141" s="169">
        <f t="shared" si="87"/>
        <v>-69.860943574283397</v>
      </c>
      <c r="AF141" s="98" t="str">
        <f t="shared" si="72"/>
        <v>-0.0000366300366300366</v>
      </c>
      <c r="AG141" s="98" t="str">
        <f t="shared" si="73"/>
        <v>0.0000736256189995945i</v>
      </c>
      <c r="AH141" s="98">
        <f t="shared" si="88"/>
        <v>7.3625618999594502E-5</v>
      </c>
      <c r="AI141" s="98">
        <f t="shared" si="89"/>
        <v>1.5707963267948966</v>
      </c>
      <c r="AJ141" s="98" t="str">
        <f t="shared" si="74"/>
        <v>1+0.0105157363830549i</v>
      </c>
      <c r="AK141" s="98">
        <f t="shared" si="90"/>
        <v>1.0000552888274117</v>
      </c>
      <c r="AL141" s="98">
        <f t="shared" si="91"/>
        <v>1.0515348796232666E-2</v>
      </c>
      <c r="AM141" s="98" t="str">
        <f t="shared" si="75"/>
        <v>1+0.725585810430784i</v>
      </c>
      <c r="AN141" s="98">
        <f t="shared" si="92"/>
        <v>1.2355058754609376</v>
      </c>
      <c r="AO141" s="98">
        <f t="shared" si="93"/>
        <v>0.62769206601014149</v>
      </c>
      <c r="AP141" s="168" t="str">
        <f t="shared" si="94"/>
        <v>-0.355720566240327+0.501258200772029i</v>
      </c>
      <c r="AQ141" s="98">
        <f t="shared" si="95"/>
        <v>-4.2274160414024182</v>
      </c>
      <c r="AR141" s="169">
        <f t="shared" si="96"/>
        <v>125.36162111009608</v>
      </c>
      <c r="AS141" s="168" t="str">
        <f t="shared" si="97"/>
        <v>13.1144850016669+19.0821774900889i</v>
      </c>
      <c r="AT141" s="190">
        <f t="shared" si="98"/>
        <v>27.292613727072176</v>
      </c>
      <c r="AU141" s="169">
        <f t="shared" si="99"/>
        <v>55.500677535812798</v>
      </c>
      <c r="AV141" s="225"/>
      <c r="AX141">
        <f t="shared" si="100"/>
        <v>0</v>
      </c>
      <c r="AY141">
        <f t="shared" si="101"/>
        <v>0</v>
      </c>
    </row>
    <row r="142" spans="14:51" x14ac:dyDescent="0.3">
      <c r="N142" s="170">
        <v>24</v>
      </c>
      <c r="O142" s="199">
        <f t="shared" si="102"/>
        <v>173.78008287493768</v>
      </c>
      <c r="P142" s="189" t="str">
        <f t="shared" si="67"/>
        <v>108.75</v>
      </c>
      <c r="Q142" s="160" t="str">
        <f t="shared" si="68"/>
        <v>1+2.77122307210986i</v>
      </c>
      <c r="R142" s="160">
        <f t="shared" si="77"/>
        <v>2.9461292088762856</v>
      </c>
      <c r="S142" s="160">
        <f t="shared" si="78"/>
        <v>1.2244871449719421</v>
      </c>
      <c r="T142" s="160" t="str">
        <f t="shared" si="69"/>
        <v>1+0.000102637891559625i</v>
      </c>
      <c r="U142" s="160">
        <f t="shared" si="79"/>
        <v>1.0000000052672684</v>
      </c>
      <c r="V142" s="160">
        <f t="shared" si="80"/>
        <v>1.0263789119921078E-4</v>
      </c>
      <c r="W142" s="98" t="str">
        <f t="shared" si="70"/>
        <v>1-0.00081527970600553i</v>
      </c>
      <c r="X142" s="160">
        <f t="shared" si="81"/>
        <v>1.0000003323404443</v>
      </c>
      <c r="Y142" s="160">
        <f t="shared" si="82"/>
        <v>-8.1527952537195885E-4</v>
      </c>
      <c r="Z142" s="98" t="str">
        <f t="shared" si="71"/>
        <v>0.999999389985765+0.0015725968708474i</v>
      </c>
      <c r="AA142" s="160">
        <f t="shared" si="83"/>
        <v>1.0000006265162138</v>
      </c>
      <c r="AB142" s="160">
        <f t="shared" si="84"/>
        <v>1.5725965337780596E-3</v>
      </c>
      <c r="AC142" s="171" t="str">
        <f t="shared" si="85"/>
        <v>12.4498847249557-34.7499271575628i</v>
      </c>
      <c r="AD142" s="190">
        <f t="shared" si="86"/>
        <v>31.34354700612214</v>
      </c>
      <c r="AE142" s="169">
        <f t="shared" si="87"/>
        <v>-70.288879977121852</v>
      </c>
      <c r="AF142" s="98" t="str">
        <f t="shared" si="72"/>
        <v>-0.0000366300366300366</v>
      </c>
      <c r="AG142" s="98" t="str">
        <f t="shared" si="73"/>
        <v>0.0000753405799746179i</v>
      </c>
      <c r="AH142" s="98">
        <f t="shared" si="88"/>
        <v>7.5340579974617899E-5</v>
      </c>
      <c r="AI142" s="98">
        <f t="shared" si="89"/>
        <v>1.5707963267948966</v>
      </c>
      <c r="AJ142" s="98" t="str">
        <f t="shared" si="74"/>
        <v>1+0.0107606793494519i</v>
      </c>
      <c r="AK142" s="98">
        <f t="shared" si="90"/>
        <v>1.0000578944341481</v>
      </c>
      <c r="AL142" s="98">
        <f t="shared" si="91"/>
        <v>1.0760264043987921E-2</v>
      </c>
      <c r="AM142" s="98" t="str">
        <f t="shared" si="75"/>
        <v>1+0.742486875112176i</v>
      </c>
      <c r="AN142" s="98">
        <f t="shared" si="92"/>
        <v>1.2455066277277869</v>
      </c>
      <c r="AO142" s="98">
        <f t="shared" si="93"/>
        <v>0.6386753430323614</v>
      </c>
      <c r="AP142" s="168" t="str">
        <f t="shared" si="94"/>
        <v>-0.35571871261425+0.49002043030949i</v>
      </c>
      <c r="AQ142" s="98">
        <f t="shared" si="95"/>
        <v>-4.3574141149409931</v>
      </c>
      <c r="AR142" s="169">
        <f t="shared" si="96"/>
        <v>125.97688391865749</v>
      </c>
      <c r="AS142" s="168" t="str">
        <f t="shared" si="97"/>
        <v>12.5995172924153+18.4618972221535i</v>
      </c>
      <c r="AT142" s="190">
        <f t="shared" si="98"/>
        <v>26.986132891181136</v>
      </c>
      <c r="AU142" s="169">
        <f t="shared" si="99"/>
        <v>55.688003941535584</v>
      </c>
      <c r="AV142" s="225"/>
      <c r="AX142">
        <f t="shared" si="100"/>
        <v>0</v>
      </c>
      <c r="AY142">
        <f t="shared" si="101"/>
        <v>0</v>
      </c>
    </row>
    <row r="143" spans="14:51" x14ac:dyDescent="0.3">
      <c r="N143" s="170">
        <v>25</v>
      </c>
      <c r="O143" s="199">
        <f t="shared" si="102"/>
        <v>177.82794100389242</v>
      </c>
      <c r="P143" s="189" t="str">
        <f t="shared" si="67"/>
        <v>108.75</v>
      </c>
      <c r="Q143" s="160" t="str">
        <f t="shared" si="68"/>
        <v>1+2.83577314973677i</v>
      </c>
      <c r="R143" s="160">
        <f t="shared" si="77"/>
        <v>3.0069268958137312</v>
      </c>
      <c r="S143" s="160">
        <f t="shared" si="78"/>
        <v>1.2317737621360911</v>
      </c>
      <c r="T143" s="160" t="str">
        <f t="shared" si="69"/>
        <v>1+0.000105028635175436i</v>
      </c>
      <c r="U143" s="160">
        <f t="shared" si="79"/>
        <v>1.0000000055155069</v>
      </c>
      <c r="V143" s="160">
        <f t="shared" si="80"/>
        <v>1.0502863478924521E-4</v>
      </c>
      <c r="W143" s="98" t="str">
        <f t="shared" si="70"/>
        <v>1-0.000834270009904175i</v>
      </c>
      <c r="X143" s="160">
        <f t="shared" si="81"/>
        <v>1.0000003480031641</v>
      </c>
      <c r="Y143" s="160">
        <f t="shared" si="82"/>
        <v>-8.3426981635182002E-4</v>
      </c>
      <c r="Z143" s="98" t="str">
        <f t="shared" si="71"/>
        <v>0.99999936123668+0.00160922735762079i</v>
      </c>
      <c r="AA143" s="160">
        <f t="shared" si="83"/>
        <v>1.000000656043013</v>
      </c>
      <c r="AB143" s="160">
        <f t="shared" si="84"/>
        <v>1.6092269964444912E-3</v>
      </c>
      <c r="AC143" s="171" t="str">
        <f t="shared" si="85"/>
        <v>11.9479293336251-34.1359253048922i</v>
      </c>
      <c r="AD143" s="190">
        <f t="shared" si="86"/>
        <v>31.166125290976705</v>
      </c>
      <c r="AE143" s="169">
        <f t="shared" si="87"/>
        <v>-70.709422242474815</v>
      </c>
      <c r="AF143" s="98" t="str">
        <f t="shared" si="72"/>
        <v>-0.0000366300366300366</v>
      </c>
      <c r="AG143" s="98" t="str">
        <f t="shared" si="73"/>
        <v>0.0000770954875223942i</v>
      </c>
      <c r="AH143" s="98">
        <f t="shared" si="88"/>
        <v>7.7095487522394206E-5</v>
      </c>
      <c r="AI143" s="98">
        <f t="shared" si="89"/>
        <v>1.5707963267948966</v>
      </c>
      <c r="AJ143" s="98" t="str">
        <f t="shared" si="74"/>
        <v>1+0.0110113277704743i</v>
      </c>
      <c r="AK143" s="98">
        <f t="shared" si="90"/>
        <v>1.0000606228320705</v>
      </c>
      <c r="AL143" s="98">
        <f t="shared" si="91"/>
        <v>1.1010882764109008E-2</v>
      </c>
      <c r="AM143" s="98" t="str">
        <f t="shared" si="75"/>
        <v>1+0.759781616162728i</v>
      </c>
      <c r="AN143" s="98">
        <f t="shared" si="92"/>
        <v>1.2558933490781958</v>
      </c>
      <c r="AO143" s="98">
        <f t="shared" si="93"/>
        <v>0.64973200695922939</v>
      </c>
      <c r="AP143" s="168" t="str">
        <f t="shared" si="94"/>
        <v>-0.355716771650173+0.479042473284941i</v>
      </c>
      <c r="AQ143" s="98">
        <f t="shared" si="95"/>
        <v>-4.4853034595702246</v>
      </c>
      <c r="AR143" s="169">
        <f t="shared" si="96"/>
        <v>126.59602470223163</v>
      </c>
      <c r="AS143" s="168" t="str">
        <f t="shared" si="97"/>
        <v>12.102479235464+17.8662867653612i</v>
      </c>
      <c r="AT143" s="190">
        <f t="shared" si="98"/>
        <v>26.680821831406483</v>
      </c>
      <c r="AU143" s="169">
        <f t="shared" si="99"/>
        <v>55.886602459756958</v>
      </c>
      <c r="AV143" s="225"/>
      <c r="AX143">
        <f t="shared" si="100"/>
        <v>0</v>
      </c>
      <c r="AY143">
        <f t="shared" si="101"/>
        <v>0</v>
      </c>
    </row>
    <row r="144" spans="14:51" x14ac:dyDescent="0.3">
      <c r="N144" s="170">
        <v>26</v>
      </c>
      <c r="O144" s="199">
        <f t="shared" si="102"/>
        <v>181.9700858609983</v>
      </c>
      <c r="P144" s="189" t="str">
        <f t="shared" si="67"/>
        <v>108.75</v>
      </c>
      <c r="Q144" s="160" t="str">
        <f t="shared" si="68"/>
        <v>1+2.90182679182354i</v>
      </c>
      <c r="R144" s="160">
        <f t="shared" si="77"/>
        <v>3.0692993874408701</v>
      </c>
      <c r="S144" s="160">
        <f t="shared" si="78"/>
        <v>1.2389308830481294</v>
      </c>
      <c r="T144" s="160" t="str">
        <f t="shared" si="69"/>
        <v>1+0.000107475066363835i</v>
      </c>
      <c r="U144" s="160">
        <f t="shared" si="79"/>
        <v>1.0000000057754448</v>
      </c>
      <c r="V144" s="160">
        <f t="shared" si="80"/>
        <v>1.0747506595002411E-4</v>
      </c>
      <c r="W144" s="98" t="str">
        <f t="shared" si="70"/>
        <v>1-0.000853702654804932i</v>
      </c>
      <c r="X144" s="160">
        <f t="shared" si="81"/>
        <v>1.0000003644040449</v>
      </c>
      <c r="Y144" s="160">
        <f t="shared" si="82"/>
        <v>-8.5370244740985116E-4</v>
      </c>
      <c r="Z144" s="98" t="str">
        <f t="shared" si="71"/>
        <v>0.999999331132692+0.00164671107803982i</v>
      </c>
      <c r="AA144" s="160">
        <f t="shared" si="83"/>
        <v>1.0000006869613671</v>
      </c>
      <c r="AB144" s="160">
        <f t="shared" si="84"/>
        <v>1.6467106910324513E-3</v>
      </c>
      <c r="AC144" s="171" t="str">
        <f t="shared" si="85"/>
        <v>11.4636563995956-33.5257769571981i</v>
      </c>
      <c r="AD144" s="190">
        <f t="shared" si="86"/>
        <v>30.987797506788009</v>
      </c>
      <c r="AE144" s="169">
        <f t="shared" si="87"/>
        <v>-71.122615959263953</v>
      </c>
      <c r="AF144" s="98" t="str">
        <f t="shared" si="72"/>
        <v>-0.0000366300366300366</v>
      </c>
      <c r="AG144" s="98" t="str">
        <f t="shared" si="73"/>
        <v>0.0000788912721181342i</v>
      </c>
      <c r="AH144" s="98">
        <f t="shared" si="88"/>
        <v>7.8891272118134206E-5</v>
      </c>
      <c r="AI144" s="98">
        <f t="shared" si="89"/>
        <v>1.5707963267948966</v>
      </c>
      <c r="AJ144" s="98" t="str">
        <f t="shared" si="74"/>
        <v>1+0.0112678145432328i</v>
      </c>
      <c r="AK144" s="98">
        <f t="shared" si="90"/>
        <v>1.0000634798074473</v>
      </c>
      <c r="AL144" s="98">
        <f t="shared" si="91"/>
        <v>1.1267337711956125E-2</v>
      </c>
      <c r="AM144" s="98" t="str">
        <f t="shared" si="75"/>
        <v>1+0.777479203483059i</v>
      </c>
      <c r="AN144" s="98">
        <f t="shared" si="92"/>
        <v>1.2666782984833409</v>
      </c>
      <c r="AO144" s="98">
        <f t="shared" si="93"/>
        <v>0.66085710717801915</v>
      </c>
      <c r="AP144" s="168" t="str">
        <f t="shared" si="94"/>
        <v>-0.355714739233976+0.468318508905806i</v>
      </c>
      <c r="AQ144" s="98">
        <f t="shared" si="95"/>
        <v>-4.6110568836086996</v>
      </c>
      <c r="AR144" s="169">
        <f t="shared" si="96"/>
        <v>127.21875220528158</v>
      </c>
      <c r="AS144" s="168" t="str">
        <f t="shared" si="97"/>
        <v>11.6229503276536+17.2942554796133i</v>
      </c>
      <c r="AT144" s="190">
        <f t="shared" si="98"/>
        <v>26.376740623179323</v>
      </c>
      <c r="AU144" s="169">
        <f t="shared" si="99"/>
        <v>56.096136246017672</v>
      </c>
      <c r="AV144" s="225"/>
      <c r="AX144">
        <f t="shared" si="100"/>
        <v>0</v>
      </c>
      <c r="AY144">
        <f t="shared" si="101"/>
        <v>0</v>
      </c>
    </row>
    <row r="145" spans="14:51" x14ac:dyDescent="0.3">
      <c r="N145" s="170">
        <v>27</v>
      </c>
      <c r="O145" s="199">
        <f t="shared" si="102"/>
        <v>186.20871366628685</v>
      </c>
      <c r="P145" s="189" t="str">
        <f t="shared" si="67"/>
        <v>108.75</v>
      </c>
      <c r="Q145" s="160" t="str">
        <f t="shared" si="68"/>
        <v>1+2.96941902088557i</v>
      </c>
      <c r="R145" s="160">
        <f t="shared" si="77"/>
        <v>3.1332809196746174</v>
      </c>
      <c r="S145" s="160">
        <f t="shared" si="78"/>
        <v>1.2459593686223611</v>
      </c>
      <c r="T145" s="160" t="str">
        <f t="shared" si="69"/>
        <v>1+0.000109978482255021i</v>
      </c>
      <c r="U145" s="160">
        <f t="shared" si="79"/>
        <v>1.0000000060476333</v>
      </c>
      <c r="V145" s="160">
        <f t="shared" si="80"/>
        <v>1.0997848181161465E-4</v>
      </c>
      <c r="W145" s="98" t="str">
        <f t="shared" si="70"/>
        <v>1-0.000873587944153362i</v>
      </c>
      <c r="X145" s="160">
        <f t="shared" si="81"/>
        <v>1.0000003815778753</v>
      </c>
      <c r="Y145" s="160">
        <f t="shared" si="82"/>
        <v>-8.7358772192553367E-4</v>
      </c>
      <c r="Z145" s="98" t="str">
        <f t="shared" si="71"/>
        <v>0.999999299609947+0.00168506790646923i</v>
      </c>
      <c r="AA145" s="160">
        <f t="shared" si="83"/>
        <v>1.0000007193368583</v>
      </c>
      <c r="AB145" s="160">
        <f t="shared" si="84"/>
        <v>1.6850674917833716E-3</v>
      </c>
      <c r="AC145" s="171" t="str">
        <f t="shared" si="85"/>
        <v>10.9966344764634-32.9199088202809i</v>
      </c>
      <c r="AD145" s="190">
        <f t="shared" si="86"/>
        <v>30.808595750448472</v>
      </c>
      <c r="AE145" s="169">
        <f t="shared" si="87"/>
        <v>-71.52851210897559</v>
      </c>
      <c r="AF145" s="98" t="str">
        <f t="shared" si="72"/>
        <v>-0.0000366300366300366</v>
      </c>
      <c r="AG145" s="98" t="str">
        <f t="shared" si="73"/>
        <v>0.0000807288859106009i</v>
      </c>
      <c r="AH145" s="98">
        <f t="shared" si="88"/>
        <v>8.0728885910600904E-5</v>
      </c>
      <c r="AI145" s="98">
        <f t="shared" si="89"/>
        <v>1.5707963267948966</v>
      </c>
      <c r="AJ145" s="98" t="str">
        <f t="shared" si="74"/>
        <v>1+0.0115302756604093i</v>
      </c>
      <c r="AK145" s="98">
        <f t="shared" si="90"/>
        <v>1.0000664714191778</v>
      </c>
      <c r="AL145" s="98">
        <f t="shared" si="91"/>
        <v>1.1529764728325139E-2</v>
      </c>
      <c r="AM145" s="98" t="str">
        <f t="shared" si="75"/>
        <v>1+0.795589020568236i</v>
      </c>
      <c r="AN145" s="98">
        <f t="shared" si="92"/>
        <v>1.2778739725218309</v>
      </c>
      <c r="AO145" s="98">
        <f t="shared" si="93"/>
        <v>0.67204552741570189</v>
      </c>
      <c r="AP145" s="168" t="str">
        <f t="shared" si="94"/>
        <v>-0.355712611057848+0.457842851040164i</v>
      </c>
      <c r="AQ145" s="98">
        <f t="shared" si="95"/>
        <v>-4.7346489748046645</v>
      </c>
      <c r="AR145" s="169">
        <f t="shared" si="96"/>
        <v>127.84476550385146</v>
      </c>
      <c r="AS145" s="168" t="str">
        <f t="shared" si="97"/>
        <v>11.1605033477881+16.744757202799i</v>
      </c>
      <c r="AT145" s="190">
        <f t="shared" si="98"/>
        <v>26.073946775643819</v>
      </c>
      <c r="AU145" s="169">
        <f t="shared" si="99"/>
        <v>56.316253394875943</v>
      </c>
      <c r="AV145" s="225"/>
      <c r="AX145">
        <f t="shared" si="100"/>
        <v>0</v>
      </c>
      <c r="AY145">
        <f t="shared" si="101"/>
        <v>0</v>
      </c>
    </row>
    <row r="146" spans="14:51" x14ac:dyDescent="0.3">
      <c r="N146" s="170">
        <v>28</v>
      </c>
      <c r="O146" s="199">
        <f t="shared" si="102"/>
        <v>190.54607179632498</v>
      </c>
      <c r="P146" s="189" t="str">
        <f t="shared" si="67"/>
        <v>108.75</v>
      </c>
      <c r="Q146" s="160" t="str">
        <f t="shared" si="68"/>
        <v>1+3.0385856752174i</v>
      </c>
      <c r="R146" s="160">
        <f t="shared" si="77"/>
        <v>3.1989065171768281</v>
      </c>
      <c r="S146" s="160">
        <f t="shared" si="78"/>
        <v>1.2528601669100958</v>
      </c>
      <c r="T146" s="160" t="str">
        <f t="shared" si="69"/>
        <v>1+0.000112540210193238i</v>
      </c>
      <c r="U146" s="160">
        <f t="shared" si="79"/>
        <v>1.0000000063326493</v>
      </c>
      <c r="V146" s="160">
        <f t="shared" si="80"/>
        <v>1.1254020971811953E-4</v>
      </c>
      <c r="W146" s="98" t="str">
        <f t="shared" si="70"/>
        <v>1-0.000893936421393093i</v>
      </c>
      <c r="X146" s="160">
        <f t="shared" si="81"/>
        <v>1.0000003995610829</v>
      </c>
      <c r="Y146" s="160">
        <f t="shared" si="82"/>
        <v>-8.9393618327168983E-4</v>
      </c>
      <c r="Z146" s="98" t="str">
        <f t="shared" si="71"/>
        <v>0.999999266601581+0.00172431818020718i</v>
      </c>
      <c r="AA146" s="160">
        <f t="shared" si="83"/>
        <v>1.0000007532381594</v>
      </c>
      <c r="AB146" s="160">
        <f t="shared" si="84"/>
        <v>1.7243177358632865E-3</v>
      </c>
      <c r="AC146" s="171" t="str">
        <f t="shared" si="85"/>
        <v>10.5464270286015-32.3187180799342i</v>
      </c>
      <c r="AD146" s="190">
        <f t="shared" si="86"/>
        <v>30.628551321100442</v>
      </c>
      <c r="AE146" s="169">
        <f t="shared" si="87"/>
        <v>-71.927166704222103</v>
      </c>
      <c r="AF146" s="98" t="str">
        <f t="shared" si="72"/>
        <v>-0.0000366300366300366</v>
      </c>
      <c r="AG146" s="98" t="str">
        <f t="shared" si="73"/>
        <v>0.0000826093032269504i</v>
      </c>
      <c r="AH146" s="98">
        <f t="shared" si="88"/>
        <v>8.2609303226950407E-5</v>
      </c>
      <c r="AI146" s="98">
        <f t="shared" si="89"/>
        <v>1.5707963267948966</v>
      </c>
      <c r="AJ146" s="98" t="str">
        <f t="shared" si="74"/>
        <v>1+0.0117988502823622i</v>
      </c>
      <c r="AK146" s="98">
        <f t="shared" si="90"/>
        <v>1.0000696040116335</v>
      </c>
      <c r="AL146" s="98">
        <f t="shared" si="91"/>
        <v>1.1798302810828274E-2</v>
      </c>
      <c r="AM146" s="98" t="str">
        <f t="shared" si="75"/>
        <v>1+0.814120669482991i</v>
      </c>
      <c r="AN146" s="98">
        <f t="shared" si="92"/>
        <v>1.2894931036959576</v>
      </c>
      <c r="AO146" s="98">
        <f t="shared" si="93"/>
        <v>0.68329199589973089</v>
      </c>
      <c r="AP146" s="168" t="str">
        <f t="shared" si="94"/>
        <v>-0.355710382611166+0.447609945201197i</v>
      </c>
      <c r="AQ146" s="98">
        <f t="shared" si="95"/>
        <v>-4.8560561976204593</v>
      </c>
      <c r="AR146" s="169">
        <f t="shared" si="96"/>
        <v>128.47375458364721</v>
      </c>
      <c r="AS146" s="168" t="str">
        <f t="shared" si="97"/>
        <v>10.7147060352077+16.2167891980565i</v>
      </c>
      <c r="AT146" s="190">
        <f t="shared" si="98"/>
        <v>25.772495123479967</v>
      </c>
      <c r="AU146" s="169">
        <f t="shared" si="99"/>
        <v>56.546587879425054</v>
      </c>
      <c r="AV146" s="225"/>
      <c r="AX146">
        <f t="shared" si="100"/>
        <v>0</v>
      </c>
      <c r="AY146">
        <f t="shared" si="101"/>
        <v>0</v>
      </c>
    </row>
    <row r="147" spans="14:51" x14ac:dyDescent="0.3">
      <c r="N147" s="170">
        <v>29</v>
      </c>
      <c r="O147" s="199">
        <f t="shared" si="102"/>
        <v>194.98445997580458</v>
      </c>
      <c r="P147" s="189" t="str">
        <f t="shared" ref="P147:P210" si="103">COMPLEX(Adc,0)</f>
        <v>108.75</v>
      </c>
      <c r="Q147" s="160" t="str">
        <f t="shared" ref="Q147:Q210" si="104">IMSUM(COMPLEX(1,0),IMDIV(COMPLEX(0,2*PI()*O147),COMPLEX(wp_lf,0)))</f>
        <v>1+3.10936342789463i</v>
      </c>
      <c r="R147" s="160">
        <f t="shared" si="77"/>
        <v>3.2662120149691209</v>
      </c>
      <c r="S147" s="160">
        <f t="shared" si="78"/>
        <v>1.2596343069376978</v>
      </c>
      <c r="T147" s="160" t="str">
        <f t="shared" ref="T147:T210" si="105">IMSUM(COMPLEX(1,0),IMDIV(COMPLEX(0,2*PI()*O147),COMPLEX(wz_esr,0)))</f>
        <v>1+0.000115161608440542i</v>
      </c>
      <c r="U147" s="160">
        <f t="shared" si="79"/>
        <v>1.0000000066310979</v>
      </c>
      <c r="V147" s="160">
        <f t="shared" si="80"/>
        <v>1.1516160793144339E-4</v>
      </c>
      <c r="W147" s="98" t="str">
        <f t="shared" ref="W147:W210" si="106">IMSUB(COMPLEX(1,0),IMDIV(COMPLEX(0,2*PI()*O147),COMPLEX(wz_rhp,0)))</f>
        <v>1-0.000914758875556082i</v>
      </c>
      <c r="X147" s="160">
        <f t="shared" si="81"/>
        <v>1.0000004183918128</v>
      </c>
      <c r="Y147" s="160">
        <f t="shared" si="82"/>
        <v>-9.1475862040440732E-4</v>
      </c>
      <c r="Z147" s="98" t="str">
        <f t="shared" ref="Z147:Z210" si="107">IF(Dc_Mode_Loop="CCM",IMSUM(COMPLEX(1,0),IMDIV(COMPLEX(0,2*PI()*O147),COMPLEX(Q*(wsl/2),0)),IMDIV(IMPOWER(COMPLEX(0,2*PI()*O147),2),IMPOWER(COMPLEX(wsl/2,0),2))),COMPLEX(1,0))</f>
        <v>0.999999232037578+0.0017644827102683i</v>
      </c>
      <c r="AA147" s="160">
        <f t="shared" si="83"/>
        <v>1.0000007887371793</v>
      </c>
      <c r="AB147" s="160">
        <f t="shared" si="84"/>
        <v>1.7644822341452517E-3</v>
      </c>
      <c r="AC147" s="171" t="str">
        <f t="shared" si="85"/>
        <v>10.1125940139048-31.7225731990894i</v>
      </c>
      <c r="AD147" s="190">
        <f t="shared" si="86"/>
        <v>30.447694712256105</v>
      </c>
      <c r="AE147" s="169">
        <f t="shared" si="87"/>
        <v>-72.318640436584928</v>
      </c>
      <c r="AF147" s="98" t="str">
        <f t="shared" ref="AF147:AF210" si="108">COMPLEX(Adc_ea,0)</f>
        <v>-0.0000366300366300366</v>
      </c>
      <c r="AG147" s="98" t="str">
        <f t="shared" ref="AG147:AG210" si="109">COMPLEX(0,2*PI()*O147*wp0_ea)</f>
        <v>0.0000845335210893342i</v>
      </c>
      <c r="AH147" s="98">
        <f t="shared" si="88"/>
        <v>8.4533521089334197E-5</v>
      </c>
      <c r="AI147" s="98">
        <f t="shared" si="89"/>
        <v>1.5707963267948966</v>
      </c>
      <c r="AJ147" s="98" t="str">
        <f t="shared" ref="AJ147:AJ210" si="110">IMSUM(COMPLEX(1,0),IMDIV(COMPLEX(0,2*PI()*O147),COMPLEX(wp1_ea,0)))</f>
        <v>1+0.012073680810911i</v>
      </c>
      <c r="AK147" s="98">
        <f t="shared" si="90"/>
        <v>1.0000728842281066</v>
      </c>
      <c r="AL147" s="98">
        <f t="shared" si="91"/>
        <v>1.2073094186902332E-2</v>
      </c>
      <c r="AM147" s="98" t="str">
        <f t="shared" ref="AM147:AM210" si="111">IMSUM(COMPLEX(1,0),IMDIV(COMPLEX(0,2*PI()*O147),COMPLEX(wz_ea,0)))</f>
        <v>1+0.833083975952856i</v>
      </c>
      <c r="AN147" s="98">
        <f t="shared" si="92"/>
        <v>1.3015486587098535</v>
      </c>
      <c r="AO147" s="98">
        <f t="shared" si="93"/>
        <v>0.69459109641566541</v>
      </c>
      <c r="AP147" s="168" t="str">
        <f t="shared" si="94"/>
        <v>-0.35570804917095+0.437614365601388i</v>
      </c>
      <c r="AQ147" s="98">
        <f t="shared" si="95"/>
        <v>-4.9752569849653776</v>
      </c>
      <c r="AR147" s="169">
        <f t="shared" si="96"/>
        <v>129.10540096940869</v>
      </c>
      <c r="AS147" s="168" t="str">
        <f t="shared" si="97"/>
        <v>10.2851226570192+15.7093910413101i</v>
      </c>
      <c r="AT147" s="190">
        <f t="shared" si="98"/>
        <v>25.472437727290732</v>
      </c>
      <c r="AU147" s="169">
        <f t="shared" si="99"/>
        <v>56.78676053282377</v>
      </c>
      <c r="AV147" s="225"/>
      <c r="AX147">
        <f t="shared" si="100"/>
        <v>0</v>
      </c>
      <c r="AY147">
        <f t="shared" si="101"/>
        <v>0</v>
      </c>
    </row>
    <row r="148" spans="14:51" x14ac:dyDescent="0.3">
      <c r="N148" s="170">
        <v>30</v>
      </c>
      <c r="O148" s="199">
        <f t="shared" si="102"/>
        <v>199.52623149688802</v>
      </c>
      <c r="P148" s="189" t="str">
        <f t="shared" si="103"/>
        <v>108.75</v>
      </c>
      <c r="Q148" s="160" t="str">
        <f t="shared" si="104"/>
        <v>1+3.18178980621865i</v>
      </c>
      <c r="R148" s="160">
        <f t="shared" ref="R148:R211" si="112">IMABS(Q148)</f>
        <v>3.3352340803843008</v>
      </c>
      <c r="S148" s="160">
        <f t="shared" ref="S148:S211" si="113">IMARGUMENT(Q148)</f>
        <v>1.2662828927195222</v>
      </c>
      <c r="T148" s="160" t="str">
        <f t="shared" si="105"/>
        <v>1+0.000117844066896987i</v>
      </c>
      <c r="U148" s="160">
        <f t="shared" ref="U148:U211" si="114">IMABS(T148)</f>
        <v>1.0000000069436119</v>
      </c>
      <c r="V148" s="160">
        <f t="shared" ref="V148:V211" si="115">IMARGUMENT(T148)</f>
        <v>1.1784406635147803E-4</v>
      </c>
      <c r="W148" s="98" t="str">
        <f t="shared" si="106"/>
        <v>1-0.000936066346983163i</v>
      </c>
      <c r="X148" s="160">
        <f t="shared" ref="X148:X211" si="116">IMABS(W148)</f>
        <v>1.0000004381100069</v>
      </c>
      <c r="Y148" s="160">
        <f t="shared" ref="Y148:Y211" si="117">IMARGUMENT(W148)</f>
        <v>-9.360660735832242E-4</v>
      </c>
      <c r="Z148" s="98" t="str">
        <f t="shared" si="107"/>
        <v>0.999999195844625+0.00180558279241811i</v>
      </c>
      <c r="AA148" s="160">
        <f t="shared" ref="AA148:AA211" si="118">IMABS(Z148)</f>
        <v>1.0000008259092175</v>
      </c>
      <c r="AB148" s="160">
        <f t="shared" ref="AB148:AB211" si="119">IMARGUMENT(Z148)</f>
        <v>1.8055822822430827E-3</v>
      </c>
      <c r="AC148" s="171" t="str">
        <f t="shared" ref="AC148:AC211" si="120">(IMDIV(IMPRODUCT(P148,T148,W148),IMPRODUCT(Q148,Z148)))</f>
        <v>9.69469335508767-31.1318147720463i</v>
      </c>
      <c r="AD148" s="190">
        <f t="shared" ref="AD148:AD211" si="121">20*LOG(IMABS(AC148))</f>
        <v>30.266055606720816</v>
      </c>
      <c r="AE148" s="169">
        <f t="shared" ref="AE148:AE211" si="122">(180/PI())*IMARGUMENT(AC148)</f>
        <v>-72.702998334501046</v>
      </c>
      <c r="AF148" s="98" t="str">
        <f t="shared" si="108"/>
        <v>-0.0000366300366300366</v>
      </c>
      <c r="AG148" s="98" t="str">
        <f t="shared" si="109"/>
        <v>0.000086502559743533i</v>
      </c>
      <c r="AH148" s="98">
        <f t="shared" ref="AH148:AH211" si="123">IMABS(AG148)</f>
        <v>8.6502559743532997E-5</v>
      </c>
      <c r="AI148" s="98">
        <f t="shared" ref="AI148:AI211" si="124">IMARGUMENT(AG148)</f>
        <v>1.5707963267948966</v>
      </c>
      <c r="AJ148" s="98" t="str">
        <f t="shared" si="110"/>
        <v>1+0.0123549129648399i</v>
      </c>
      <c r="AK148" s="98">
        <f t="shared" ref="AK148:AK211" si="125">IMABS(AJ148)</f>
        <v>1.0000763190248876</v>
      </c>
      <c r="AL148" s="98">
        <f t="shared" ref="AL148:AL211" si="126">IMARGUMENT(AJ148)</f>
        <v>1.2354284388480413E-2</v>
      </c>
      <c r="AM148" s="98" t="str">
        <f t="shared" si="111"/>
        <v>1+0.852488994573947i</v>
      </c>
      <c r="AN148" s="98">
        <f t="shared" ref="AN148:AN211" si="127">IMABS(AM148)</f>
        <v>1.3140538367470715</v>
      </c>
      <c r="AO148" s="98">
        <f t="shared" ref="AO148:AO211" si="128">IMARGUMENT(AM148)</f>
        <v>0.70593728021472557</v>
      </c>
      <c r="AP148" s="168" t="str">
        <f t="shared" ref="AP148:AP211" si="129">IMPRODUCT(AF148,IMDIV(AM148,IMPRODUCT(AG148,AJ148)))</f>
        <v>-0.355705605791898+0.427850812274904i</v>
      </c>
      <c r="AQ148" s="98">
        <f t="shared" ref="AQ148:AQ211" si="130">20*LOG(IMABS(AP148))</f>
        <v>-5.0922318236469879</v>
      </c>
      <c r="AR148" s="169">
        <f t="shared" ref="AR148:AR211" si="131">(180/PI())*IMARGUMENT(AP148)</f>
        <v>129.7393784028838</v>
      </c>
      <c r="AS148" s="168" t="str">
        <f t="shared" ref="AS148:AS211" si="132">IMPRODUCT(AC148,AP148)</f>
        <v>9.87131546497372+15.2216434596223i</v>
      </c>
      <c r="AT148" s="190">
        <f t="shared" ref="AT148:AT211" si="133">20*LOG(IMABS(AS148))</f>
        <v>25.173823783073846</v>
      </c>
      <c r="AU148" s="169">
        <f t="shared" ref="AU148:AU211" si="134">(180/PI())*IMARGUMENT(AS148)</f>
        <v>57.03638006838279</v>
      </c>
      <c r="AV148" s="225"/>
      <c r="AX148">
        <f t="shared" ref="AX148:AX211" si="135">SUM((AT149&lt;0)*(AT148&gt;0))*O148</f>
        <v>0</v>
      </c>
      <c r="AY148">
        <f t="shared" ref="AY148:AY211" si="136">IF(AX148&gt;0,AU148,0)</f>
        <v>0</v>
      </c>
    </row>
    <row r="149" spans="14:51" x14ac:dyDescent="0.3">
      <c r="N149" s="170">
        <v>31</v>
      </c>
      <c r="O149" s="199">
        <f t="shared" si="102"/>
        <v>204.17379446695315</v>
      </c>
      <c r="P149" s="189" t="str">
        <f t="shared" si="103"/>
        <v>108.75</v>
      </c>
      <c r="Q149" s="160" t="str">
        <f t="shared" si="104"/>
        <v>1+3.25590321161387i</v>
      </c>
      <c r="R149" s="160">
        <f t="shared" si="112"/>
        <v>3.4060102353629991</v>
      </c>
      <c r="S149" s="160">
        <f t="shared" si="113"/>
        <v>1.2728070974566665</v>
      </c>
      <c r="T149" s="160" t="str">
        <f t="shared" si="105"/>
        <v>1+0.000120589007837551i</v>
      </c>
      <c r="U149" s="160">
        <f t="shared" si="114"/>
        <v>1.0000000072708544</v>
      </c>
      <c r="V149" s="160">
        <f t="shared" si="115"/>
        <v>1.2058900725302759E-4</v>
      </c>
      <c r="W149" s="98" t="str">
        <f t="shared" si="106"/>
        <v>1-0.000957870133177712i</v>
      </c>
      <c r="X149" s="160">
        <f t="shared" si="116"/>
        <v>1.0000004587574909</v>
      </c>
      <c r="Y149" s="160">
        <f t="shared" si="117"/>
        <v>-9.5786984022440684E-4</v>
      </c>
      <c r="Z149" s="98" t="str">
        <f t="shared" si="107"/>
        <v>0.999999157945949+0.00184764021846416i</v>
      </c>
      <c r="AA149" s="160">
        <f t="shared" si="118"/>
        <v>1.000000864833118</v>
      </c>
      <c r="AB149" s="160">
        <f t="shared" si="119"/>
        <v>1.8476396718017842E-3</v>
      </c>
      <c r="AC149" s="171" t="str">
        <f t="shared" si="120"/>
        <v>9.29228230130042-30.5467564256659i</v>
      </c>
      <c r="AD149" s="190">
        <f t="shared" si="121"/>
        <v>30.083662874121568</v>
      </c>
      <c r="AE149" s="169">
        <f t="shared" si="122"/>
        <v>-73.080309431815095</v>
      </c>
      <c r="AF149" s="98" t="str">
        <f t="shared" si="108"/>
        <v>-0.0000366300366300366</v>
      </c>
      <c r="AG149" s="98" t="str">
        <f t="shared" si="109"/>
        <v>0.0000885174631999047i</v>
      </c>
      <c r="AH149" s="98">
        <f t="shared" si="123"/>
        <v>8.8517463199904695E-5</v>
      </c>
      <c r="AI149" s="98">
        <f t="shared" si="124"/>
        <v>1.5707963267948966</v>
      </c>
      <c r="AJ149" s="98" t="str">
        <f t="shared" si="110"/>
        <v>1+0.0126426958571592i</v>
      </c>
      <c r="AK149" s="98">
        <f t="shared" si="125"/>
        <v>1.0000799156860098</v>
      </c>
      <c r="AL149" s="98">
        <f t="shared" si="126"/>
        <v>1.2642022328361997E-2</v>
      </c>
      <c r="AM149" s="98" t="str">
        <f t="shared" si="111"/>
        <v>1+0.872346014143983i</v>
      </c>
      <c r="AN149" s="98">
        <f t="shared" si="127"/>
        <v>1.327022067786702</v>
      </c>
      <c r="AO149" s="98">
        <f t="shared" si="128"/>
        <v>0.71732487871525386</v>
      </c>
      <c r="AP149" s="168" t="str">
        <f t="shared" si="129"/>
        <v>-0.355703047295915+0.418314108266659i</v>
      </c>
      <c r="AQ149" s="98">
        <f t="shared" si="130"/>
        <v>-5.2069633328460041</v>
      </c>
      <c r="AR149" s="169">
        <f t="shared" si="131"/>
        <v>130.37535356619242</v>
      </c>
      <c r="AS149" s="168" t="str">
        <f t="shared" si="132"/>
        <v>9.47284604373481+14.752667130246i</v>
      </c>
      <c r="AT149" s="190">
        <f t="shared" si="133"/>
        <v>24.876699541275574</v>
      </c>
      <c r="AU149" s="169">
        <f t="shared" si="134"/>
        <v>57.295044134377363</v>
      </c>
      <c r="AV149" s="225"/>
      <c r="AX149">
        <f t="shared" si="135"/>
        <v>0</v>
      </c>
      <c r="AY149">
        <f t="shared" si="136"/>
        <v>0</v>
      </c>
    </row>
    <row r="150" spans="14:51" x14ac:dyDescent="0.3">
      <c r="N150" s="170">
        <v>32</v>
      </c>
      <c r="O150" s="199">
        <f t="shared" si="102"/>
        <v>208.92961308540396</v>
      </c>
      <c r="P150" s="189" t="str">
        <f t="shared" si="103"/>
        <v>108.75</v>
      </c>
      <c r="Q150" s="160" t="str">
        <f t="shared" si="104"/>
        <v>1+3.33174293998889i</v>
      </c>
      <c r="R150" s="160">
        <f t="shared" si="112"/>
        <v>3.4785788791064967</v>
      </c>
      <c r="S150" s="160">
        <f t="shared" si="113"/>
        <v>1.2792081579305512</v>
      </c>
      <c r="T150" s="160" t="str">
        <f t="shared" si="105"/>
        <v>1+0.000123397886666256i</v>
      </c>
      <c r="U150" s="160">
        <f t="shared" si="114"/>
        <v>1.0000000076135191</v>
      </c>
      <c r="V150" s="160">
        <f t="shared" si="115"/>
        <v>1.2339788603992789E-4</v>
      </c>
      <c r="W150" s="98" t="str">
        <f t="shared" si="106"/>
        <v>1-0.000980181794795791i</v>
      </c>
      <c r="X150" s="160">
        <f t="shared" si="116"/>
        <v>1.00000048037806</v>
      </c>
      <c r="Y150" s="160">
        <f t="shared" si="117"/>
        <v>-9.80181480890677E-4</v>
      </c>
      <c r="Z150" s="98" t="str">
        <f t="shared" si="107"/>
        <v>0.999999118261164+0.00189067728781046i</v>
      </c>
      <c r="AA150" s="160">
        <f t="shared" si="118"/>
        <v>1.0000009055914463</v>
      </c>
      <c r="AB150" s="160">
        <f t="shared" si="119"/>
        <v>1.8906767020511867E-3</v>
      </c>
      <c r="AC150" s="171" t="str">
        <f t="shared" si="120"/>
        <v>8.90491868245911-29.9676857580737i</v>
      </c>
      <c r="AD150" s="190">
        <f t="shared" si="121"/>
        <v>29.900544570836665</v>
      </c>
      <c r="AE150" s="169">
        <f t="shared" si="122"/>
        <v>-73.450646447517286</v>
      </c>
      <c r="AF150" s="98" t="str">
        <f t="shared" si="108"/>
        <v>-0.0000366300366300366</v>
      </c>
      <c r="AG150" s="98" t="str">
        <f t="shared" si="109"/>
        <v>0.0000905792997869319i</v>
      </c>
      <c r="AH150" s="98">
        <f t="shared" si="123"/>
        <v>9.0579299786931907E-5</v>
      </c>
      <c r="AI150" s="98">
        <f t="shared" si="124"/>
        <v>1.5707963267948966</v>
      </c>
      <c r="AJ150" s="98" t="str">
        <f t="shared" si="110"/>
        <v>1+0.012937182074168i</v>
      </c>
      <c r="AK150" s="98">
        <f t="shared" si="125"/>
        <v>1.0000836818386851</v>
      </c>
      <c r="AL150" s="98">
        <f t="shared" si="126"/>
        <v>1.2936460378320616E-2</v>
      </c>
      <c r="AM150" s="98" t="str">
        <f t="shared" si="111"/>
        <v>1+0.892665563117591i</v>
      </c>
      <c r="AN150" s="98">
        <f t="shared" si="127"/>
        <v>1.3404670109987957</v>
      </c>
      <c r="AO150" s="98">
        <f t="shared" si="128"/>
        <v>0.72874811693368391</v>
      </c>
      <c r="AP150" s="168" t="str">
        <f t="shared" si="129"/>
        <v>-0.355700368261183+0.408999196886494i</v>
      </c>
      <c r="AQ150" s="98">
        <f t="shared" si="130"/>
        <v>-5.3194363349635765</v>
      </c>
      <c r="AR150" s="169">
        <f t="shared" si="131"/>
        <v>131.01298684689024</v>
      </c>
      <c r="AS150" s="168" t="str">
        <f t="shared" si="132"/>
        <v>9.08927655291237+14.3016214495475i</v>
      </c>
      <c r="AT150" s="190">
        <f t="shared" si="133"/>
        <v>24.581108235873074</v>
      </c>
      <c r="AU150" s="169">
        <f t="shared" si="134"/>
        <v>57.5623403993729</v>
      </c>
      <c r="AV150" s="225"/>
      <c r="AX150">
        <f t="shared" si="135"/>
        <v>0</v>
      </c>
      <c r="AY150">
        <f t="shared" si="136"/>
        <v>0</v>
      </c>
    </row>
    <row r="151" spans="14:51" x14ac:dyDescent="0.3">
      <c r="N151" s="170">
        <v>33</v>
      </c>
      <c r="O151" s="199">
        <f t="shared" si="102"/>
        <v>213.79620895022339</v>
      </c>
      <c r="P151" s="189" t="str">
        <f t="shared" si="103"/>
        <v>108.75</v>
      </c>
      <c r="Q151" s="160" t="str">
        <f t="shared" si="104"/>
        <v>1+3.4093492025715i</v>
      </c>
      <c r="R151" s="160">
        <f t="shared" si="112"/>
        <v>3.5529793110958194</v>
      </c>
      <c r="S151" s="160">
        <f t="shared" si="113"/>
        <v>1.2854873690982416</v>
      </c>
      <c r="T151" s="160" t="str">
        <f t="shared" si="105"/>
        <v>1+0.000126272192687834i</v>
      </c>
      <c r="U151" s="160">
        <f t="shared" si="114"/>
        <v>1.0000000079723332</v>
      </c>
      <c r="V151" s="160">
        <f t="shared" si="115"/>
        <v>1.2627219201671134E-4</v>
      </c>
      <c r="W151" s="98" t="str">
        <f t="shared" si="106"/>
        <v>1-0.0010030131617757i</v>
      </c>
      <c r="X151" s="160">
        <f t="shared" si="116"/>
        <v>1.0000005030175749</v>
      </c>
      <c r="Y151" s="160">
        <f t="shared" si="117"/>
        <v>-1.0030128254203195E-3</v>
      </c>
      <c r="Z151" s="98" t="str">
        <f t="shared" si="107"/>
        <v>0.999999076706093+0.00193471681928083i</v>
      </c>
      <c r="AA151" s="160">
        <f t="shared" si="118"/>
        <v>1.0000009482706549</v>
      </c>
      <c r="AB151" s="160">
        <f t="shared" si="119"/>
        <v>1.9347161916284776E-3</v>
      </c>
      <c r="AC151" s="171" t="str">
        <f t="shared" si="120"/>
        <v>8.53216205925023-29.3948653061575i</v>
      </c>
      <c r="AD151" s="190">
        <f t="shared" si="121"/>
        <v>29.716727942134895</v>
      </c>
      <c r="AE151" s="169">
        <f t="shared" si="122"/>
        <v>-73.814085477062761</v>
      </c>
      <c r="AF151" s="98" t="str">
        <f t="shared" si="108"/>
        <v>-0.0000366300366300366</v>
      </c>
      <c r="AG151" s="98" t="str">
        <f t="shared" si="109"/>
        <v>0.0000926891627176651i</v>
      </c>
      <c r="AH151" s="98">
        <f t="shared" si="123"/>
        <v>9.26891627176651E-5</v>
      </c>
      <c r="AI151" s="98">
        <f t="shared" si="124"/>
        <v>1.5707963267948966</v>
      </c>
      <c r="AJ151" s="98" t="str">
        <f t="shared" si="110"/>
        <v>1+0.0132385277563563i</v>
      </c>
      <c r="AK151" s="98">
        <f t="shared" si="125"/>
        <v>1.0000876254694664</v>
      </c>
      <c r="AL151" s="98">
        <f t="shared" si="126"/>
        <v>1.3237754448982687E-2</v>
      </c>
      <c r="AM151" s="98" t="str">
        <f t="shared" si="111"/>
        <v>1+0.913458415188582i</v>
      </c>
      <c r="AN151" s="98">
        <f t="shared" si="127"/>
        <v>1.3544025532606012</v>
      </c>
      <c r="AO151" s="98">
        <f t="shared" si="128"/>
        <v>0.74020112757227263</v>
      </c>
      <c r="AP151" s="168" t="str">
        <f t="shared" si="129"/>
        <v>-0.355697563010682+0.399901139027095i</v>
      </c>
      <c r="AQ151" s="98">
        <f t="shared" si="130"/>
        <v>-5.4296379182424506</v>
      </c>
      <c r="AR151" s="169">
        <f t="shared" si="131"/>
        <v>131.65193314055853</v>
      </c>
      <c r="AS151" s="168" t="str">
        <f t="shared" si="132"/>
        <v>8.72017086579291+13.8677032802854i</v>
      </c>
      <c r="AT151" s="190">
        <f t="shared" si="133"/>
        <v>24.287090023892443</v>
      </c>
      <c r="AU151" s="169">
        <f t="shared" si="134"/>
        <v>57.837847663495793</v>
      </c>
      <c r="AV151" s="225"/>
      <c r="AX151">
        <f t="shared" si="135"/>
        <v>0</v>
      </c>
      <c r="AY151">
        <f t="shared" si="136"/>
        <v>0</v>
      </c>
    </row>
    <row r="152" spans="14:51" x14ac:dyDescent="0.3">
      <c r="N152" s="170">
        <v>34</v>
      </c>
      <c r="O152" s="199">
        <f t="shared" si="102"/>
        <v>218.77616239495524</v>
      </c>
      <c r="P152" s="189" t="str">
        <f t="shared" si="103"/>
        <v>108.75</v>
      </c>
      <c r="Q152" s="160" t="str">
        <f t="shared" si="104"/>
        <v>1+3.4887631472294i</v>
      </c>
      <c r="R152" s="160">
        <f t="shared" si="112"/>
        <v>3.6292517544896206</v>
      </c>
      <c r="S152" s="160">
        <f t="shared" si="113"/>
        <v>1.2916460788948212</v>
      </c>
      <c r="T152" s="160" t="str">
        <f t="shared" si="105"/>
        <v>1+0.000129213449897386i</v>
      </c>
      <c r="U152" s="160">
        <f t="shared" si="114"/>
        <v>1.0000000083480578</v>
      </c>
      <c r="V152" s="160">
        <f t="shared" si="115"/>
        <v>1.2921344917826512E-4</v>
      </c>
      <c r="W152" s="98" t="str">
        <f t="shared" si="106"/>
        <v>1-0.00102637633961044i</v>
      </c>
      <c r="X152" s="160">
        <f t="shared" si="116"/>
        <v>1.0000005267240566</v>
      </c>
      <c r="Y152" s="160">
        <f t="shared" si="117"/>
        <v>-1.0263759791991668E-3</v>
      </c>
      <c r="Z152" s="98" t="str">
        <f t="shared" si="107"/>
        <v>0.999999033192592+0.00197978216321778i</v>
      </c>
      <c r="AA152" s="160">
        <f t="shared" si="118"/>
        <v>1.0000009929612732</v>
      </c>
      <c r="AB152" s="160">
        <f t="shared" si="119"/>
        <v>1.9797814906761862E-3</v>
      </c>
      <c r="AC152" s="171" t="str">
        <f t="shared" si="120"/>
        <v>8.17357477221801-28.8285335338398i</v>
      </c>
      <c r="AD152" s="190">
        <f t="shared" si="121"/>
        <v>29.532239426333682</v>
      </c>
      <c r="AE152" s="169">
        <f t="shared" si="122"/>
        <v>-74.170705695576316</v>
      </c>
      <c r="AF152" s="98" t="str">
        <f t="shared" si="108"/>
        <v>-0.0000366300366300366</v>
      </c>
      <c r="AG152" s="98" t="str">
        <f t="shared" si="109"/>
        <v>0.0000948481706693571i</v>
      </c>
      <c r="AH152" s="98">
        <f t="shared" si="123"/>
        <v>9.4848170669357103E-5</v>
      </c>
      <c r="AI152" s="98">
        <f t="shared" si="124"/>
        <v>1.5707963267948966</v>
      </c>
      <c r="AJ152" s="98" t="str">
        <f t="shared" si="110"/>
        <v>1+0.0135468926811937i</v>
      </c>
      <c r="AK152" s="98">
        <f t="shared" si="125"/>
        <v>1.0000917549411732</v>
      </c>
      <c r="AL152" s="98">
        <f t="shared" si="126"/>
        <v>1.3546064071519823E-2</v>
      </c>
      <c r="AM152" s="98" t="str">
        <f t="shared" si="111"/>
        <v>1+0.93473559500236i</v>
      </c>
      <c r="AN152" s="98">
        <f t="shared" si="127"/>
        <v>1.3688428078360262</v>
      </c>
      <c r="AO152" s="98">
        <f t="shared" si="128"/>
        <v>0.75167796568365997</v>
      </c>
      <c r="AP152" s="168" t="str">
        <f t="shared" si="129"/>
        <v>-0.355694625600224+0.391015110544179i</v>
      </c>
      <c r="AQ152" s="98">
        <f t="shared" si="130"/>
        <v>-5.5375574906248604</v>
      </c>
      <c r="AR152" s="169">
        <f t="shared" si="131"/>
        <v>132.29184268634123</v>
      </c>
      <c r="AS152" s="168" t="str">
        <f t="shared" si="132"/>
        <v>8.36509560814142+13.4501456850226i</v>
      </c>
      <c r="AT152" s="190">
        <f t="shared" si="133"/>
        <v>23.994681935708829</v>
      </c>
      <c r="AU152" s="169">
        <f t="shared" si="134"/>
        <v>58.121136990764946</v>
      </c>
      <c r="AV152" s="225"/>
      <c r="AX152">
        <f t="shared" si="135"/>
        <v>0</v>
      </c>
      <c r="AY152">
        <f t="shared" si="136"/>
        <v>0</v>
      </c>
    </row>
    <row r="153" spans="14:51" x14ac:dyDescent="0.3">
      <c r="N153" s="170">
        <v>35</v>
      </c>
      <c r="O153" s="199">
        <f t="shared" si="102"/>
        <v>223.87211385683412</v>
      </c>
      <c r="P153" s="189" t="str">
        <f t="shared" si="103"/>
        <v>108.75</v>
      </c>
      <c r="Q153" s="160" t="str">
        <f t="shared" si="104"/>
        <v>1+3.5700268802872i</v>
      </c>
      <c r="R153" s="160">
        <f t="shared" si="112"/>
        <v>3.7074373799125935</v>
      </c>
      <c r="S153" s="160">
        <f t="shared" si="113"/>
        <v>1.2976856832463586</v>
      </c>
      <c r="T153" s="160" t="str">
        <f t="shared" si="105"/>
        <v>1+0.000132223217788415i</v>
      </c>
      <c r="U153" s="160">
        <f t="shared" si="114"/>
        <v>1.0000000087414895</v>
      </c>
      <c r="V153" s="160">
        <f t="shared" si="115"/>
        <v>1.322232170178631E-4</v>
      </c>
      <c r="W153" s="98" t="str">
        <f t="shared" si="106"/>
        <v>1-0.00105028371576614i</v>
      </c>
      <c r="X153" s="160">
        <f t="shared" si="116"/>
        <v>1.0000005515477897</v>
      </c>
      <c r="Y153" s="160">
        <f t="shared" si="117"/>
        <v>-1.0502833295785146E-3</v>
      </c>
      <c r="Z153" s="98" t="str">
        <f t="shared" si="107"/>
        <v>0.999998987628363+0.00202589721386319i</v>
      </c>
      <c r="AA153" s="160">
        <f t="shared" si="118"/>
        <v>1.0000010397580956</v>
      </c>
      <c r="AB153" s="160">
        <f t="shared" si="119"/>
        <v>2.0258964932219096E-3</v>
      </c>
      <c r="AC153" s="171" t="str">
        <f t="shared" si="120"/>
        <v>7.82872289372033-28.2689058338185i</v>
      </c>
      <c r="AD153" s="190">
        <f t="shared" si="121"/>
        <v>29.347104660796358</v>
      </c>
      <c r="AE153" s="169">
        <f t="shared" si="122"/>
        <v>-74.520589073148003</v>
      </c>
      <c r="AF153" s="98" t="str">
        <f t="shared" si="108"/>
        <v>-0.0000366300366300366</v>
      </c>
      <c r="AG153" s="98" t="str">
        <f t="shared" si="109"/>
        <v>0.0000970574683766022i</v>
      </c>
      <c r="AH153" s="98">
        <f t="shared" si="123"/>
        <v>9.7057468376602195E-5</v>
      </c>
      <c r="AI153" s="98">
        <f t="shared" si="124"/>
        <v>1.5707963267948966</v>
      </c>
      <c r="AJ153" s="98" t="str">
        <f t="shared" si="110"/>
        <v>1+0.0138624403478449i</v>
      </c>
      <c r="AK153" s="98">
        <f t="shared" si="125"/>
        <v>1.0000960790106106</v>
      </c>
      <c r="AL153" s="98">
        <f t="shared" si="126"/>
        <v>1.38615524811896E-2</v>
      </c>
      <c r="AM153" s="98" t="str">
        <f t="shared" si="111"/>
        <v>1+0.956508384001298i</v>
      </c>
      <c r="AN153" s="98">
        <f t="shared" si="127"/>
        <v>1.3838021132606984</v>
      </c>
      <c r="AO153" s="98">
        <f t="shared" si="128"/>
        <v>0.76317262382547446</v>
      </c>
      <c r="AP153" s="168" t="str">
        <f t="shared" si="129"/>
        <v>-0.355691549805874+0.382336399697542i</v>
      </c>
      <c r="AQ153" s="98">
        <f t="shared" si="130"/>
        <v>-5.6431868243810364</v>
      </c>
      <c r="AR153" s="169">
        <f t="shared" si="131"/>
        <v>132.93236193045357</v>
      </c>
      <c r="AS153" s="168" t="str">
        <f t="shared" si="132"/>
        <v>8.0236211008229+13.048216652762i</v>
      </c>
      <c r="AT153" s="190">
        <f t="shared" si="133"/>
        <v>23.703917836415332</v>
      </c>
      <c r="AU153" s="169">
        <f t="shared" si="134"/>
        <v>58.411772857305628</v>
      </c>
      <c r="AV153" s="225"/>
      <c r="AX153">
        <f t="shared" si="135"/>
        <v>0</v>
      </c>
      <c r="AY153">
        <f t="shared" si="136"/>
        <v>0</v>
      </c>
    </row>
    <row r="154" spans="14:51" x14ac:dyDescent="0.3">
      <c r="N154" s="170">
        <v>36</v>
      </c>
      <c r="O154" s="199">
        <f t="shared" si="102"/>
        <v>229.08676527677744</v>
      </c>
      <c r="P154" s="189" t="str">
        <f t="shared" si="103"/>
        <v>108.75</v>
      </c>
      <c r="Q154" s="160" t="str">
        <f t="shared" si="104"/>
        <v>1+3.65318348885181i</v>
      </c>
      <c r="R154" s="160">
        <f t="shared" si="112"/>
        <v>3.7875783296480461</v>
      </c>
      <c r="S154" s="160">
        <f t="shared" si="113"/>
        <v>1.3036076212956522</v>
      </c>
      <c r="T154" s="160" t="str">
        <f t="shared" si="105"/>
        <v>1+0.000135303092179697i</v>
      </c>
      <c r="U154" s="160">
        <f t="shared" si="114"/>
        <v>1.0000000091534633</v>
      </c>
      <c r="V154" s="160">
        <f t="shared" si="115"/>
        <v>1.3530309135403575E-4</v>
      </c>
      <c r="W154" s="98" t="str">
        <f t="shared" si="106"/>
        <v>1-0.00107474796625008i</v>
      </c>
      <c r="X154" s="160">
        <f t="shared" si="116"/>
        <v>1.0000005775414287</v>
      </c>
      <c r="Y154" s="160">
        <f t="shared" si="117"/>
        <v>-1.0747475524425967E-3</v>
      </c>
      <c r="Z154" s="98" t="str">
        <f t="shared" si="107"/>
        <v>0.999998939916757+0.00207308642202731i</v>
      </c>
      <c r="AA154" s="160">
        <f t="shared" si="118"/>
        <v>1.0000010887603827</v>
      </c>
      <c r="AB154" s="160">
        <f t="shared" si="119"/>
        <v>2.0730856498462919E-3</v>
      </c>
      <c r="AC154" s="171" t="str">
        <f t="shared" si="120"/>
        <v>7.49717708682613-27.7161755361406i</v>
      </c>
      <c r="AD154" s="190">
        <f t="shared" si="121"/>
        <v>29.161348489591596</v>
      </c>
      <c r="AE154" s="169">
        <f t="shared" si="122"/>
        <v>-74.863820102342075</v>
      </c>
      <c r="AF154" s="98" t="str">
        <f t="shared" si="108"/>
        <v>-0.0000366300366300366</v>
      </c>
      <c r="AG154" s="98" t="str">
        <f t="shared" si="109"/>
        <v>0.0000993182272382879i</v>
      </c>
      <c r="AH154" s="98">
        <f t="shared" si="123"/>
        <v>9.9318227238287906E-5</v>
      </c>
      <c r="AI154" s="98">
        <f t="shared" si="124"/>
        <v>1.5707963267948966</v>
      </c>
      <c r="AJ154" s="98" t="str">
        <f t="shared" si="110"/>
        <v>1+0.0141853380638597i</v>
      </c>
      <c r="AK154" s="98">
        <f t="shared" si="125"/>
        <v>1.0001006068471241</v>
      </c>
      <c r="AL154" s="98">
        <f t="shared" si="126"/>
        <v>1.4184386702766876E-2</v>
      </c>
      <c r="AM154" s="98" t="str">
        <f t="shared" si="111"/>
        <v>1+0.978788326406316i</v>
      </c>
      <c r="AN154" s="98">
        <f t="shared" si="127"/>
        <v>1.3992950324750235</v>
      </c>
      <c r="AO154" s="98">
        <f t="shared" si="128"/>
        <v>0.77467904761267903</v>
      </c>
      <c r="AP154" s="168" t="str">
        <f t="shared" si="129"/>
        <v>-0.355688329110816+0.373860404651655i</v>
      </c>
      <c r="AQ154" s="98">
        <f t="shared" si="130"/>
        <v>-5.7465200911156877</v>
      </c>
      <c r="AR154" s="169">
        <f t="shared" si="131"/>
        <v>133.57313441237059</v>
      </c>
      <c r="AS154" s="168" t="str">
        <f t="shared" si="132"/>
        <v>7.69532221027674+12.6612178252179i</v>
      </c>
      <c r="AT154" s="190">
        <f t="shared" si="133"/>
        <v>23.414828398475926</v>
      </c>
      <c r="AU154" s="169">
        <f t="shared" si="134"/>
        <v>58.70931431002861</v>
      </c>
      <c r="AV154" s="225"/>
      <c r="AX154">
        <f t="shared" si="135"/>
        <v>0</v>
      </c>
      <c r="AY154">
        <f t="shared" si="136"/>
        <v>0</v>
      </c>
    </row>
    <row r="155" spans="14:51" x14ac:dyDescent="0.3">
      <c r="N155" s="170">
        <v>37</v>
      </c>
      <c r="O155" s="199">
        <f t="shared" si="102"/>
        <v>234.42288153199232</v>
      </c>
      <c r="P155" s="189" t="str">
        <f t="shared" si="103"/>
        <v>108.75</v>
      </c>
      <c r="Q155" s="160" t="str">
        <f t="shared" si="104"/>
        <v>1+3.7382770636578i</v>
      </c>
      <c r="R155" s="160">
        <f t="shared" si="112"/>
        <v>3.8697177422481319</v>
      </c>
      <c r="S155" s="160">
        <f t="shared" si="113"/>
        <v>1.309413370841533</v>
      </c>
      <c r="T155" s="160" t="str">
        <f t="shared" si="105"/>
        <v>1+0.0001384547060614i</v>
      </c>
      <c r="U155" s="160">
        <f t="shared" si="114"/>
        <v>1.0000000095848527</v>
      </c>
      <c r="V155" s="160">
        <f t="shared" si="115"/>
        <v>1.3845470517668802E-4</v>
      </c>
      <c r="W155" s="98" t="str">
        <f t="shared" si="106"/>
        <v>1-0.00109978206233169i</v>
      </c>
      <c r="X155" s="160">
        <f t="shared" si="116"/>
        <v>1.0000006047601093</v>
      </c>
      <c r="Y155" s="160">
        <f t="shared" si="117"/>
        <v>-1.0997816189289974E-3</v>
      </c>
      <c r="Z155" s="98" t="str">
        <f t="shared" si="107"/>
        <v>0.999998889956573+0.00212137480805291i</v>
      </c>
      <c r="AA155" s="160">
        <f t="shared" si="118"/>
        <v>1.0000011400720774</v>
      </c>
      <c r="AB155" s="160">
        <f t="shared" si="119"/>
        <v>2.1213739806460689E-3</v>
      </c>
      <c r="AC155" s="171" t="str">
        <f t="shared" si="120"/>
        <v>7.1785133754486-27.1705149176474i</v>
      </c>
      <c r="AD155" s="190">
        <f t="shared" si="121"/>
        <v>28.974994972648865</v>
      </c>
      <c r="AE155" s="169">
        <f t="shared" si="122"/>
        <v>-75.200485537968618</v>
      </c>
      <c r="AF155" s="98" t="str">
        <f t="shared" si="108"/>
        <v>-0.0000366300366300366</v>
      </c>
      <c r="AG155" s="98" t="str">
        <f t="shared" si="109"/>
        <v>0.000101631645938688i</v>
      </c>
      <c r="AH155" s="98">
        <f t="shared" si="123"/>
        <v>1.01631645938688E-4</v>
      </c>
      <c r="AI155" s="98">
        <f t="shared" si="124"/>
        <v>1.5707963267948966</v>
      </c>
      <c r="AJ155" s="98" t="str">
        <f t="shared" si="110"/>
        <v>1+0.014515757033881i</v>
      </c>
      <c r="AK155" s="98">
        <f t="shared" si="125"/>
        <v>1.0001053480520272</v>
      </c>
      <c r="AL155" s="98">
        <f t="shared" si="126"/>
        <v>1.4514737637903211E-2</v>
      </c>
      <c r="AM155" s="98" t="str">
        <f t="shared" si="111"/>
        <v>1+1.00158723533779i</v>
      </c>
      <c r="AN155" s="98">
        <f t="shared" si="127"/>
        <v>1.4153363522469129</v>
      </c>
      <c r="AO155" s="98">
        <f t="shared" si="128"/>
        <v>0.78619115157056763</v>
      </c>
      <c r="AP155" s="168" t="str">
        <f t="shared" si="129"/>
        <v>-0.355684956691587+0.365582631034414i</v>
      </c>
      <c r="AQ155" s="98">
        <f t="shared" si="130"/>
        <v>-5.84755388684483</v>
      </c>
      <c r="AR155" s="169">
        <f t="shared" si="131"/>
        <v>134.21380166813202</v>
      </c>
      <c r="AS155" s="168" t="str">
        <f t="shared" si="132"/>
        <v>7.37977911109692+12.2884832284838i</v>
      </c>
      <c r="AT155" s="190">
        <f t="shared" si="133"/>
        <v>23.127441085804055</v>
      </c>
      <c r="AU155" s="169">
        <f t="shared" si="134"/>
        <v>59.013316130163474</v>
      </c>
      <c r="AV155" s="225"/>
      <c r="AX155">
        <f t="shared" si="135"/>
        <v>0</v>
      </c>
      <c r="AY155">
        <f t="shared" si="136"/>
        <v>0</v>
      </c>
    </row>
    <row r="156" spans="14:51" x14ac:dyDescent="0.3">
      <c r="N156" s="170">
        <v>38</v>
      </c>
      <c r="O156" s="199">
        <f t="shared" si="102"/>
        <v>239.88329190194912</v>
      </c>
      <c r="P156" s="189" t="str">
        <f t="shared" si="103"/>
        <v>108.75</v>
      </c>
      <c r="Q156" s="160" t="str">
        <f t="shared" si="104"/>
        <v>1+3.82535272244491i</v>
      </c>
      <c r="R156" s="160">
        <f t="shared" si="112"/>
        <v>3.9538997775761446</v>
      </c>
      <c r="S156" s="160">
        <f t="shared" si="113"/>
        <v>1.3151044439913409</v>
      </c>
      <c r="T156" s="160" t="str">
        <f t="shared" si="105"/>
        <v>1+0.000141679730460923i</v>
      </c>
      <c r="U156" s="160">
        <f t="shared" si="114"/>
        <v>1.0000000100365729</v>
      </c>
      <c r="V156" s="160">
        <f t="shared" si="115"/>
        <v>1.4167972951293703E-4</v>
      </c>
      <c r="W156" s="98" t="str">
        <f t="shared" si="106"/>
        <v>1-0.0011253992774201i</v>
      </c>
      <c r="X156" s="160">
        <f t="shared" si="116"/>
        <v>1.0000006332615663</v>
      </c>
      <c r="Y156" s="160">
        <f t="shared" si="117"/>
        <v>-1.125398802305571E-3</v>
      </c>
      <c r="Z156" s="98" t="str">
        <f t="shared" si="107"/>
        <v>0.999998837641839+0.00217078797508148i</v>
      </c>
      <c r="AA156" s="160">
        <f t="shared" si="118"/>
        <v>1.0000011938020184</v>
      </c>
      <c r="AB156" s="160">
        <f t="shared" si="119"/>
        <v>2.1707870884991052E-3</v>
      </c>
      <c r="AC156" s="171" t="str">
        <f t="shared" si="120"/>
        <v>6.87231383016625-26.6320762069644i</v>
      </c>
      <c r="AD156" s="190">
        <f t="shared" si="121"/>
        <v>28.788067396251456</v>
      </c>
      <c r="AE156" s="169">
        <f t="shared" si="122"/>
        <v>-75.530674149092633</v>
      </c>
      <c r="AF156" s="98" t="str">
        <f t="shared" si="108"/>
        <v>-0.0000366300366300366</v>
      </c>
      <c r="AG156" s="98" t="str">
        <f t="shared" si="109"/>
        <v>0.000103998951083018i</v>
      </c>
      <c r="AH156" s="98">
        <f t="shared" si="123"/>
        <v>1.0399895108301799E-4</v>
      </c>
      <c r="AI156" s="98">
        <f t="shared" si="124"/>
        <v>1.5707963267948966</v>
      </c>
      <c r="AJ156" s="98" t="str">
        <f t="shared" si="110"/>
        <v>1+0.0148538724504205i</v>
      </c>
      <c r="AK156" s="98">
        <f t="shared" si="125"/>
        <v>1.000110312678943</v>
      </c>
      <c r="AL156" s="98">
        <f t="shared" si="126"/>
        <v>1.4852780154457587E-2</v>
      </c>
      <c r="AM156" s="98" t="str">
        <f t="shared" si="111"/>
        <v>1+1.02491719907901i</v>
      </c>
      <c r="AN156" s="98">
        <f t="shared" si="127"/>
        <v>1.4319410829248398</v>
      </c>
      <c r="AO156" s="98">
        <f t="shared" si="128"/>
        <v>0.79770283518776808</v>
      </c>
      <c r="AP156" s="168" t="str">
        <f t="shared" si="129"/>
        <v>-0.355681425403678+0.357498689552816i</v>
      </c>
      <c r="AQ156" s="98">
        <f t="shared" si="130"/>
        <v>-5.9462872469196242</v>
      </c>
      <c r="AR156" s="169">
        <f t="shared" si="131"/>
        <v>134.85400414499287</v>
      </c>
      <c r="AS156" s="168" t="str">
        <f t="shared" si="132"/>
        <v>7.07657796512556+11.9293780152326i</v>
      </c>
      <c r="AT156" s="190">
        <f t="shared" si="133"/>
        <v>22.841780149331829</v>
      </c>
      <c r="AU156" s="169">
        <f t="shared" si="134"/>
        <v>59.323329995900224</v>
      </c>
      <c r="AV156" s="225"/>
      <c r="AX156">
        <f t="shared" si="135"/>
        <v>0</v>
      </c>
      <c r="AY156">
        <f t="shared" si="136"/>
        <v>0</v>
      </c>
    </row>
    <row r="157" spans="14:51" x14ac:dyDescent="0.3">
      <c r="N157" s="170">
        <v>39</v>
      </c>
      <c r="O157" s="199">
        <f t="shared" si="102"/>
        <v>245.4708915685033</v>
      </c>
      <c r="P157" s="189" t="str">
        <f t="shared" si="103"/>
        <v>108.75</v>
      </c>
      <c r="Q157" s="160" t="str">
        <f t="shared" si="104"/>
        <v>1+3.91445663387997i</v>
      </c>
      <c r="R157" s="160">
        <f t="shared" si="112"/>
        <v>4.0401696422955933</v>
      </c>
      <c r="S157" s="160">
        <f t="shared" si="113"/>
        <v>1.3206823830251142</v>
      </c>
      <c r="T157" s="160" t="str">
        <f t="shared" si="105"/>
        <v>1+0.000144979875328888i</v>
      </c>
      <c r="U157" s="160">
        <f t="shared" si="114"/>
        <v>1.0000000105095821</v>
      </c>
      <c r="V157" s="160">
        <f t="shared" si="115"/>
        <v>1.4497987431310276E-4</v>
      </c>
      <c r="W157" s="98" t="str">
        <f t="shared" si="106"/>
        <v>1-0.00115161319410181i</v>
      </c>
      <c r="X157" s="160">
        <f t="shared" si="116"/>
        <v>1.0000006631062546</v>
      </c>
      <c r="Y157" s="160">
        <f t="shared" si="117"/>
        <v>-1.1516126850074384E-3</v>
      </c>
      <c r="Z157" s="98" t="str">
        <f t="shared" si="107"/>
        <v>0.999998782861586+0.00222135212262821i</v>
      </c>
      <c r="AA157" s="160">
        <f t="shared" si="118"/>
        <v>1.000001250064172</v>
      </c>
      <c r="AB157" s="160">
        <f t="shared" si="119"/>
        <v>2.2213511726381155E-3</v>
      </c>
      <c r="AC157" s="171" t="str">
        <f t="shared" si="120"/>
        <v>6.57816717427716-26.1009925803126i</v>
      </c>
      <c r="AD157" s="190">
        <f t="shared" si="121"/>
        <v>28.600588284715624</v>
      </c>
      <c r="AE157" s="169">
        <f t="shared" si="122"/>
        <v>-75.854476483199875</v>
      </c>
      <c r="AF157" s="98" t="str">
        <f t="shared" si="108"/>
        <v>-0.0000366300366300366</v>
      </c>
      <c r="AG157" s="98" t="str">
        <f t="shared" si="109"/>
        <v>0.000106421397847801i</v>
      </c>
      <c r="AH157" s="98">
        <f t="shared" si="123"/>
        <v>1.06421397847801E-4</v>
      </c>
      <c r="AI157" s="98">
        <f t="shared" si="124"/>
        <v>1.5707963267948966</v>
      </c>
      <c r="AJ157" s="98" t="str">
        <f t="shared" si="110"/>
        <v>1+0.0151998635867475i</v>
      </c>
      <c r="AK157" s="98">
        <f t="shared" si="125"/>
        <v>1.0001155112551028</v>
      </c>
      <c r="AL157" s="98">
        <f t="shared" si="126"/>
        <v>1.5198693177837038E-2</v>
      </c>
      <c r="AM157" s="98" t="str">
        <f t="shared" si="111"/>
        <v>1+1.04879058748557i</v>
      </c>
      <c r="AN157" s="98">
        <f t="shared" si="127"/>
        <v>1.4491244585605225</v>
      </c>
      <c r="AO157" s="98">
        <f t="shared" si="128"/>
        <v>0.80920799906625951</v>
      </c>
      <c r="AP157" s="168" t="str">
        <f t="shared" si="129"/>
        <v>-0.355677727766452+0.349604293664209i</v>
      </c>
      <c r="AQ157" s="98">
        <f t="shared" si="130"/>
        <v>-6.0427216506664934</v>
      </c>
      <c r="AR157" s="169">
        <f t="shared" si="131"/>
        <v>135.49338212151855</v>
      </c>
      <c r="AS157" s="168" t="str">
        <f t="shared" si="132"/>
        <v>6.78531152156018+11.5832972219829i</v>
      </c>
      <c r="AT157" s="190">
        <f t="shared" si="133"/>
        <v>22.557866634049152</v>
      </c>
      <c r="AU157" s="169">
        <f t="shared" si="134"/>
        <v>59.638905638318775</v>
      </c>
      <c r="AV157" s="225"/>
      <c r="AX157">
        <f t="shared" si="135"/>
        <v>0</v>
      </c>
      <c r="AY157">
        <f t="shared" si="136"/>
        <v>0</v>
      </c>
    </row>
    <row r="158" spans="14:51" x14ac:dyDescent="0.3">
      <c r="N158" s="170">
        <v>40</v>
      </c>
      <c r="O158" s="199">
        <f t="shared" si="102"/>
        <v>251.18864315095806</v>
      </c>
      <c r="P158" s="189" t="str">
        <f t="shared" si="103"/>
        <v>108.75</v>
      </c>
      <c r="Q158" s="160" t="str">
        <f t="shared" si="104"/>
        <v>1+4.0056360420363i</v>
      </c>
      <c r="R158" s="160">
        <f t="shared" si="112"/>
        <v>4.1285736158218418</v>
      </c>
      <c r="S158" s="160">
        <f t="shared" si="113"/>
        <v>1.326148756469125</v>
      </c>
      <c r="T158" s="160" t="str">
        <f t="shared" si="105"/>
        <v>1+0.000148356890445789i</v>
      </c>
      <c r="U158" s="160">
        <f t="shared" si="114"/>
        <v>1.0000000110048834</v>
      </c>
      <c r="V158" s="160">
        <f t="shared" si="115"/>
        <v>1.4835688935735549E-4</v>
      </c>
      <c r="W158" s="98" t="str">
        <f t="shared" si="106"/>
        <v>1-0.00117843771134244i</v>
      </c>
      <c r="X158" s="160">
        <f t="shared" si="116"/>
        <v>1.0000006943574786</v>
      </c>
      <c r="Y158" s="160">
        <f t="shared" si="117"/>
        <v>-1.1784371658380133E-3</v>
      </c>
      <c r="Z158" s="98" t="str">
        <f t="shared" si="107"/>
        <v>0.99999872549962+0.00227309406047343i</v>
      </c>
      <c r="AA158" s="160">
        <f t="shared" si="118"/>
        <v>1.0000013089778794</v>
      </c>
      <c r="AB158" s="160">
        <f t="shared" si="119"/>
        <v>2.2730930425407425E-3</v>
      </c>
      <c r="AC158" s="171" t="str">
        <f t="shared" si="120"/>
        <v>6.29566931467789-25.5773791439905i</v>
      </c>
      <c r="AD158" s="190">
        <f t="shared" si="121"/>
        <v>28.412579413112489</v>
      </c>
      <c r="AE158" s="169">
        <f t="shared" si="122"/>
        <v>-76.171984642383421</v>
      </c>
      <c r="AF158" s="98" t="str">
        <f t="shared" si="108"/>
        <v>-0.0000366300366300366</v>
      </c>
      <c r="AG158" s="98" t="str">
        <f t="shared" si="109"/>
        <v>0.000108900270646377i</v>
      </c>
      <c r="AH158" s="98">
        <f t="shared" si="123"/>
        <v>1.08900270646377E-4</v>
      </c>
      <c r="AI158" s="98">
        <f t="shared" si="124"/>
        <v>1.5707963267948966</v>
      </c>
      <c r="AJ158" s="98" t="str">
        <f t="shared" si="110"/>
        <v>1+0.0155539138919421i</v>
      </c>
      <c r="AK158" s="98">
        <f t="shared" si="125"/>
        <v>1.0001209548036467</v>
      </c>
      <c r="AL158" s="98">
        <f t="shared" si="126"/>
        <v>1.5552659784391062E-2</v>
      </c>
      <c r="AM158" s="98" t="str">
        <f t="shared" si="111"/>
        <v>1+1.073220058544i</v>
      </c>
      <c r="AN158" s="98">
        <f t="shared" si="127"/>
        <v>1.4669019374386232</v>
      </c>
      <c r="AO158" s="98">
        <f t="shared" si="128"/>
        <v>0.82070056106417666</v>
      </c>
      <c r="AP158" s="168" t="str">
        <f t="shared" si="129"/>
        <v>-0.355673855947351+0.341895257301952i</v>
      </c>
      <c r="AQ158" s="98">
        <f t="shared" si="130"/>
        <v>-6.1368610157029613</v>
      </c>
      <c r="AR158" s="169">
        <f t="shared" si="131"/>
        <v>136.13157662714752</v>
      </c>
      <c r="AS158" s="168" t="str">
        <f t="shared" si="132"/>
        <v>6.50557964262331+11.2496645454003i</v>
      </c>
      <c r="AT158" s="190">
        <f t="shared" si="133"/>
        <v>22.275718397409552</v>
      </c>
      <c r="AU158" s="169">
        <f t="shared" si="134"/>
        <v>59.959591984764202</v>
      </c>
      <c r="AV158" s="225"/>
      <c r="AX158">
        <f t="shared" si="135"/>
        <v>0</v>
      </c>
      <c r="AY158">
        <f t="shared" si="136"/>
        <v>0</v>
      </c>
    </row>
    <row r="159" spans="14:51" x14ac:dyDescent="0.3">
      <c r="N159" s="170">
        <v>41</v>
      </c>
      <c r="O159" s="199">
        <f t="shared" si="102"/>
        <v>257.03957827688663</v>
      </c>
      <c r="P159" s="189" t="str">
        <f t="shared" si="103"/>
        <v>108.75</v>
      </c>
      <c r="Q159" s="160" t="str">
        <f t="shared" si="104"/>
        <v>1+4.09893929144295i</v>
      </c>
      <c r="R159" s="160">
        <f t="shared" si="112"/>
        <v>4.2191590767515317</v>
      </c>
      <c r="S159" s="160">
        <f t="shared" si="113"/>
        <v>1.3315051553755144</v>
      </c>
      <c r="T159" s="160" t="str">
        <f t="shared" si="105"/>
        <v>1+0.00015181256634974i</v>
      </c>
      <c r="U159" s="160">
        <f t="shared" si="114"/>
        <v>1.0000000115235277</v>
      </c>
      <c r="V159" s="160">
        <f t="shared" si="115"/>
        <v>1.5181256518346248E-4</v>
      </c>
      <c r="W159" s="98" t="str">
        <f t="shared" si="106"/>
        <v>1-0.00120588705185609i</v>
      </c>
      <c r="X159" s="160">
        <f t="shared" si="116"/>
        <v>1.0000007270815265</v>
      </c>
      <c r="Y159" s="160">
        <f t="shared" si="117"/>
        <v>-1.2058864673375885E-3</v>
      </c>
      <c r="Z159" s="98" t="str">
        <f t="shared" si="107"/>
        <v>0.999998665434267+0.00232604122287746i</v>
      </c>
      <c r="AA159" s="160">
        <f t="shared" si="118"/>
        <v>1.0000013706681035</v>
      </c>
      <c r="AB159" s="160">
        <f t="shared" si="119"/>
        <v>2.3260401321429786E-3</v>
      </c>
      <c r="AC159" s="171" t="str">
        <f t="shared" si="120"/>
        <v>6.0244238021642-25.0613338999294i</v>
      </c>
      <c r="AD159" s="190">
        <f t="shared" si="121"/>
        <v>28.224061820901824</v>
      </c>
      <c r="AE159" s="169">
        <f t="shared" si="122"/>
        <v>-76.483292071366066</v>
      </c>
      <c r="AF159" s="98" t="str">
        <f t="shared" si="108"/>
        <v>-0.0000366300366300366</v>
      </c>
      <c r="AG159" s="98" t="str">
        <f t="shared" si="109"/>
        <v>0.000111436883809915i</v>
      </c>
      <c r="AH159" s="98">
        <f t="shared" si="123"/>
        <v>1.1143688380991501E-4</v>
      </c>
      <c r="AI159" s="98">
        <f t="shared" si="124"/>
        <v>1.5707963267948966</v>
      </c>
      <c r="AJ159" s="98" t="str">
        <f t="shared" si="110"/>
        <v>1+0.0159162110881626i</v>
      </c>
      <c r="AK159" s="98">
        <f t="shared" si="125"/>
        <v>1.0001266548669738</v>
      </c>
      <c r="AL159" s="98">
        <f t="shared" si="126"/>
        <v>1.5914867296901735E-2</v>
      </c>
      <c r="AM159" s="98" t="str">
        <f t="shared" si="111"/>
        <v>1+1.09821856508322i</v>
      </c>
      <c r="AN159" s="98">
        <f t="shared" si="127"/>
        <v>1.485289203048836</v>
      </c>
      <c r="AO159" s="98">
        <f t="shared" si="128"/>
        <v>0.83217447232735453</v>
      </c>
      <c r="AP159" s="168" t="str">
        <f t="shared" si="129"/>
        <v>-0.355669801745387+0.334367492654224i</v>
      </c>
      <c r="AQ159" s="98">
        <f t="shared" si="130"/>
        <v>-6.228711681982583</v>
      </c>
      <c r="AR159" s="169">
        <f t="shared" si="131"/>
        <v>136.7682303552605</v>
      </c>
      <c r="AS159" s="168" t="str">
        <f t="shared" si="132"/>
        <v>6.23698975934377+10.9279311410789i</v>
      </c>
      <c r="AT159" s="190">
        <f t="shared" si="133"/>
        <v>21.995350138919235</v>
      </c>
      <c r="AU159" s="169">
        <f t="shared" si="134"/>
        <v>60.284938283894412</v>
      </c>
      <c r="AV159" s="225"/>
      <c r="AX159">
        <f t="shared" si="135"/>
        <v>0</v>
      </c>
      <c r="AY159">
        <f t="shared" si="136"/>
        <v>0</v>
      </c>
    </row>
    <row r="160" spans="14:51" x14ac:dyDescent="0.3">
      <c r="N160" s="170">
        <v>42</v>
      </c>
      <c r="O160" s="199">
        <f t="shared" si="102"/>
        <v>263.02679918953817</v>
      </c>
      <c r="P160" s="189" t="str">
        <f t="shared" si="103"/>
        <v>108.75</v>
      </c>
      <c r="Q160" s="160" t="str">
        <f t="shared" si="104"/>
        <v>1+4.19441585271781i</v>
      </c>
      <c r="R160" s="160">
        <f t="shared" si="112"/>
        <v>4.3119745297868439</v>
      </c>
      <c r="S160" s="160">
        <f t="shared" si="113"/>
        <v>1.3367531898041498</v>
      </c>
      <c r="T160" s="160" t="str">
        <f t="shared" si="105"/>
        <v>1+0.000155348735285845i</v>
      </c>
      <c r="U160" s="160">
        <f t="shared" si="114"/>
        <v>1.0000000120666148</v>
      </c>
      <c r="V160" s="160">
        <f t="shared" si="115"/>
        <v>1.5534873403615611E-4</v>
      </c>
      <c r="W160" s="98" t="str">
        <f t="shared" si="106"/>
        <v>1-0.00123397576964643i</v>
      </c>
      <c r="X160" s="160">
        <f t="shared" si="116"/>
        <v>1.0000007613478101</v>
      </c>
      <c r="Y160" s="160">
        <f t="shared" si="117"/>
        <v>-1.2339751433235969E-3</v>
      </c>
      <c r="Z160" s="98" t="str">
        <f t="shared" si="107"/>
        <v>0.999998602538122+0.00238022168312666i</v>
      </c>
      <c r="AA160" s="160">
        <f t="shared" si="118"/>
        <v>1.000001435265699</v>
      </c>
      <c r="AB160" s="160">
        <f t="shared" si="119"/>
        <v>2.3802205143836543E-3</v>
      </c>
      <c r="AC160" s="171" t="str">
        <f t="shared" si="120"/>
        <v>5.76404222570446-24.5529386912065i</v>
      </c>
      <c r="AD160" s="190">
        <f t="shared" si="121"/>
        <v>28.035055826348078</v>
      </c>
      <c r="AE160" s="169">
        <f t="shared" si="122"/>
        <v>-76.788493357136232</v>
      </c>
      <c r="AF160" s="98" t="str">
        <f t="shared" si="108"/>
        <v>-0.0000366300366300366</v>
      </c>
      <c r="AG160" s="98" t="str">
        <f t="shared" si="109"/>
        <v>0.000114032582284291i</v>
      </c>
      <c r="AH160" s="98">
        <f t="shared" si="123"/>
        <v>1.14032582284291E-4</v>
      </c>
      <c r="AI160" s="98">
        <f t="shared" si="124"/>
        <v>1.5707963267948966</v>
      </c>
      <c r="AJ160" s="98" t="str">
        <f t="shared" si="110"/>
        <v>1+0.016286947270178i</v>
      </c>
      <c r="AK160" s="98">
        <f t="shared" si="125"/>
        <v>1.0001326235311903</v>
      </c>
      <c r="AL160" s="98">
        <f t="shared" si="126"/>
        <v>1.6285507382211985E-2</v>
      </c>
      <c r="AM160" s="98" t="str">
        <f t="shared" si="111"/>
        <v>1+1.12379936164228i</v>
      </c>
      <c r="AN160" s="98">
        <f t="shared" si="127"/>
        <v>1.5043021655331072</v>
      </c>
      <c r="AO160" s="98">
        <f t="shared" si="128"/>
        <v>0.84362373310680228</v>
      </c>
      <c r="AP160" s="168" t="str">
        <f t="shared" si="129"/>
        <v>-0.355665556573826+0.3270170079948i</v>
      </c>
      <c r="AQ160" s="98">
        <f t="shared" si="130"/>
        <v>-6.3182823857149781</v>
      </c>
      <c r="AR160" s="169">
        <f t="shared" si="131"/>
        <v>137.40298856386084</v>
      </c>
      <c r="AS160" s="168" t="str">
        <f t="shared" si="132"/>
        <v>5.9791572619579+10.6175744477365i</v>
      </c>
      <c r="AT160" s="190">
        <f t="shared" si="133"/>
        <v>21.716773440633069</v>
      </c>
      <c r="AU160" s="169">
        <f t="shared" si="134"/>
        <v>60.614495206724513</v>
      </c>
      <c r="AV160" s="225"/>
      <c r="AX160">
        <f t="shared" si="135"/>
        <v>0</v>
      </c>
      <c r="AY160">
        <f t="shared" si="136"/>
        <v>0</v>
      </c>
    </row>
    <row r="161" spans="14:51" x14ac:dyDescent="0.3">
      <c r="N161" s="170">
        <v>43</v>
      </c>
      <c r="O161" s="199">
        <f t="shared" si="102"/>
        <v>269.15348039269179</v>
      </c>
      <c r="P161" s="189" t="str">
        <f t="shared" si="103"/>
        <v>108.75</v>
      </c>
      <c r="Q161" s="160" t="str">
        <f t="shared" si="104"/>
        <v>1+4.29211634879745i</v>
      </c>
      <c r="R161" s="160">
        <f t="shared" si="112"/>
        <v>4.4070696331705888</v>
      </c>
      <c r="S161" s="160">
        <f t="shared" si="113"/>
        <v>1.3418944855021404</v>
      </c>
      <c r="T161" s="160" t="str">
        <f t="shared" si="105"/>
        <v>1+0.000158967272177684i</v>
      </c>
      <c r="U161" s="160">
        <f t="shared" si="114"/>
        <v>1.0000000126352968</v>
      </c>
      <c r="V161" s="160">
        <f t="shared" si="115"/>
        <v>1.5896727083861823E-4</v>
      </c>
      <c r="W161" s="98" t="str">
        <f t="shared" si="106"/>
        <v>1-0.00126271875772345i</v>
      </c>
      <c r="X161" s="160">
        <f t="shared" si="116"/>
        <v>1.0000007972290128</v>
      </c>
      <c r="Y161" s="160">
        <f t="shared" si="117"/>
        <v>-1.2627180866064721E-3</v>
      </c>
      <c r="Z161" s="98" t="str">
        <f t="shared" si="107"/>
        <v>0.999998536677773+0.00243566416841821i</v>
      </c>
      <c r="AA161" s="160">
        <f t="shared" si="118"/>
        <v>1.000001502907685</v>
      </c>
      <c r="AB161" s="160">
        <f t="shared" si="119"/>
        <v>2.4356629160875707E-3</v>
      </c>
      <c r="AC161" s="171" t="str">
        <f t="shared" si="120"/>
        <v>5.51414454517385-24.0522601248941i</v>
      </c>
      <c r="AD161" s="190">
        <f t="shared" si="121"/>
        <v>27.845581041605438</v>
      </c>
      <c r="AE161" s="169">
        <f t="shared" si="122"/>
        <v>-77.087684039937614</v>
      </c>
      <c r="AF161" s="98" t="str">
        <f t="shared" si="108"/>
        <v>-0.0000366300366300366</v>
      </c>
      <c r="AG161" s="98" t="str">
        <f t="shared" si="109"/>
        <v>0.000116688742343193i</v>
      </c>
      <c r="AH161" s="98">
        <f t="shared" si="123"/>
        <v>1.16688742343193E-4</v>
      </c>
      <c r="AI161" s="98">
        <f t="shared" si="124"/>
        <v>1.5707963267948966</v>
      </c>
      <c r="AJ161" s="98" t="str">
        <f t="shared" si="110"/>
        <v>1+0.0166663190072194i</v>
      </c>
      <c r="AK161" s="98">
        <f t="shared" si="125"/>
        <v>1.0001388734517074</v>
      </c>
      <c r="AL161" s="98">
        <f t="shared" si="126"/>
        <v>1.6664776151036721E-2</v>
      </c>
      <c r="AM161" s="98" t="str">
        <f t="shared" si="111"/>
        <v>1+1.14997601149813i</v>
      </c>
      <c r="AN161" s="98">
        <f t="shared" si="127"/>
        <v>1.5239569636381294</v>
      </c>
      <c r="AO161" s="98">
        <f t="shared" si="128"/>
        <v>0.85504240826194355</v>
      </c>
      <c r="AP161" s="168" t="str">
        <f t="shared" si="129"/>
        <v>-0.35566111144211+0.319839905564662i</v>
      </c>
      <c r="AQ161" s="98">
        <f t="shared" si="130"/>
        <v>-6.4055842233947322</v>
      </c>
      <c r="AR161" s="169">
        <f t="shared" si="131"/>
        <v>138.03549995812656</v>
      </c>
      <c r="AS161" s="168" t="str">
        <f t="shared" si="132"/>
        <v>5.73170582937384+10.3180970393129i</v>
      </c>
      <c r="AT161" s="190">
        <f t="shared" si="133"/>
        <v>21.439996818210719</v>
      </c>
      <c r="AU161" s="169">
        <f t="shared" si="134"/>
        <v>60.947815918188958</v>
      </c>
      <c r="AV161" s="225"/>
      <c r="AX161">
        <f t="shared" si="135"/>
        <v>0</v>
      </c>
      <c r="AY161">
        <f t="shared" si="136"/>
        <v>0</v>
      </c>
    </row>
    <row r="162" spans="14:51" x14ac:dyDescent="0.3">
      <c r="N162" s="170">
        <v>44</v>
      </c>
      <c r="O162" s="199">
        <f t="shared" si="102"/>
        <v>275.42287033381683</v>
      </c>
      <c r="P162" s="189" t="str">
        <f t="shared" si="103"/>
        <v>108.75</v>
      </c>
      <c r="Q162" s="160" t="str">
        <f t="shared" si="104"/>
        <v>1+4.39209258177809i</v>
      </c>
      <c r="R162" s="160">
        <f t="shared" si="112"/>
        <v>4.5044952266497216</v>
      </c>
      <c r="S162" s="160">
        <f t="shared" si="113"/>
        <v>1.3469306807760009</v>
      </c>
      <c r="T162" s="160" t="str">
        <f t="shared" si="105"/>
        <v>1+0.000162670095621411i</v>
      </c>
      <c r="U162" s="160">
        <f t="shared" si="114"/>
        <v>1.00000001323078</v>
      </c>
      <c r="V162" s="160">
        <f t="shared" si="115"/>
        <v>1.6267009418657619E-4</v>
      </c>
      <c r="W162" s="98" t="str">
        <f t="shared" si="106"/>
        <v>1-0.00129213125599986i</v>
      </c>
      <c r="X162" s="160">
        <f t="shared" si="116"/>
        <v>1.000000834801243</v>
      </c>
      <c r="Y162" s="160">
        <f t="shared" si="117"/>
        <v>-1.2921305368850944E-3</v>
      </c>
      <c r="Z162" s="98" t="str">
        <f t="shared" si="107"/>
        <v>0.999998467713521+0.00249239807509169i</v>
      </c>
      <c r="AA162" s="160">
        <f t="shared" si="118"/>
        <v>1.000001573737539</v>
      </c>
      <c r="AB162" s="160">
        <f t="shared" si="119"/>
        <v>2.4923967331952953E-3</v>
      </c>
      <c r="AC162" s="171" t="str">
        <f t="shared" si="120"/>
        <v>5.27435936693139-23.5593504700361i</v>
      </c>
      <c r="AD162" s="190">
        <f t="shared" si="121"/>
        <v>27.655656388360285</v>
      </c>
      <c r="AE162" s="169">
        <f t="shared" si="122"/>
        <v>-77.380960435325505</v>
      </c>
      <c r="AF162" s="98" t="str">
        <f t="shared" si="108"/>
        <v>-0.0000366300366300366</v>
      </c>
      <c r="AG162" s="98" t="str">
        <f t="shared" si="109"/>
        <v>0.000119406772317844i</v>
      </c>
      <c r="AH162" s="98">
        <f t="shared" si="123"/>
        <v>1.19406772317844E-4</v>
      </c>
      <c r="AI162" s="98">
        <f t="shared" si="124"/>
        <v>1.5707963267948966</v>
      </c>
      <c r="AJ162" s="98" t="str">
        <f t="shared" si="110"/>
        <v>1+0.0170545274472031i</v>
      </c>
      <c r="AK162" s="98">
        <f t="shared" si="125"/>
        <v>1.0001454178800437</v>
      </c>
      <c r="AL162" s="98">
        <f t="shared" si="126"/>
        <v>1.7052874259999989E-2</v>
      </c>
      <c r="AM162" s="98" t="str">
        <f t="shared" si="111"/>
        <v>1+1.17676239385701i</v>
      </c>
      <c r="AN162" s="98">
        <f t="shared" si="127"/>
        <v>1.5442699672000619</v>
      </c>
      <c r="AO162" s="98">
        <f t="shared" si="128"/>
        <v>0.86642464235307981</v>
      </c>
      <c r="AP162" s="168" t="str">
        <f t="shared" si="129"/>
        <v>-0.355656456936878+0.312832379503273i</v>
      </c>
      <c r="AQ162" s="98">
        <f t="shared" si="130"/>
        <v>-6.4906306062623385</v>
      </c>
      <c r="AR162" s="169">
        <f t="shared" si="131"/>
        <v>138.66541754929804</v>
      </c>
      <c r="AS162" s="168" t="str">
        <f t="shared" si="132"/>
        <v>5.49426770203829+10.0290255070197i</v>
      </c>
      <c r="AT162" s="190">
        <f t="shared" si="133"/>
        <v>21.165025782097928</v>
      </c>
      <c r="AU162" s="169">
        <f t="shared" si="134"/>
        <v>61.284457113972472</v>
      </c>
      <c r="AV162" s="225"/>
      <c r="AX162">
        <f t="shared" si="135"/>
        <v>0</v>
      </c>
      <c r="AY162">
        <f t="shared" si="136"/>
        <v>0</v>
      </c>
    </row>
    <row r="163" spans="14:51" x14ac:dyDescent="0.3">
      <c r="N163" s="170">
        <v>45</v>
      </c>
      <c r="O163" s="199">
        <f t="shared" si="102"/>
        <v>281.83829312644554</v>
      </c>
      <c r="P163" s="189" t="str">
        <f t="shared" si="103"/>
        <v>108.75</v>
      </c>
      <c r="Q163" s="160" t="str">
        <f t="shared" si="104"/>
        <v>1+4.49439756038181i</v>
      </c>
      <c r="R163" s="160">
        <f t="shared" si="112"/>
        <v>4.6043033599846526</v>
      </c>
      <c r="S163" s="160">
        <f t="shared" si="113"/>
        <v>1.3518634235509972</v>
      </c>
      <c r="T163" s="160" t="str">
        <f t="shared" si="105"/>
        <v>1+0.00016645916890303i</v>
      </c>
      <c r="U163" s="160">
        <f t="shared" si="114"/>
        <v>1.0000000138543275</v>
      </c>
      <c r="V163" s="160">
        <f t="shared" si="115"/>
        <v>1.6645916736557681E-4</v>
      </c>
      <c r="W163" s="98" t="str">
        <f t="shared" si="106"/>
        <v>1-0.00132222885937159i</v>
      </c>
      <c r="X163" s="160">
        <f t="shared" si="116"/>
        <v>1.0000008741441961</v>
      </c>
      <c r="Y163" s="160">
        <f t="shared" si="117"/>
        <v>-1.3222280888262725E-3</v>
      </c>
      <c r="Z163" s="98" t="str">
        <f t="shared" si="107"/>
        <v>0.999998395499084+0.00255045348421537i</v>
      </c>
      <c r="AA163" s="160">
        <f t="shared" si="118"/>
        <v>1.0000016479055009</v>
      </c>
      <c r="AB163" s="160">
        <f t="shared" si="119"/>
        <v>2.550452046347546E-3</v>
      </c>
      <c r="AC163" s="171" t="str">
        <f t="shared" si="120"/>
        <v>5.04432416650277-23.0742485289501i</v>
      </c>
      <c r="AD163" s="190">
        <f t="shared" si="121"/>
        <v>27.465300113930464</v>
      </c>
      <c r="AE163" s="169">
        <f t="shared" si="122"/>
        <v>-77.668419466976843</v>
      </c>
      <c r="AF163" s="98" t="str">
        <f t="shared" si="108"/>
        <v>-0.0000366300366300366</v>
      </c>
      <c r="AG163" s="98" t="str">
        <f t="shared" si="109"/>
        <v>0.000122188113343713i</v>
      </c>
      <c r="AH163" s="98">
        <f t="shared" si="123"/>
        <v>1.2218811334371301E-4</v>
      </c>
      <c r="AI163" s="98">
        <f t="shared" si="124"/>
        <v>1.5707963267948966</v>
      </c>
      <c r="AJ163" s="98" t="str">
        <f t="shared" si="110"/>
        <v>1+0.0174517784233828i</v>
      </c>
      <c r="AK163" s="98">
        <f t="shared" si="125"/>
        <v>1.0001522706918877</v>
      </c>
      <c r="AL163" s="98">
        <f t="shared" si="126"/>
        <v>1.7450007015945075E-2</v>
      </c>
      <c r="AM163" s="98" t="str">
        <f t="shared" si="111"/>
        <v>1+1.20417271121341i</v>
      </c>
      <c r="AN163" s="98">
        <f t="shared" si="127"/>
        <v>1.565257780185441</v>
      </c>
      <c r="AO163" s="98">
        <f t="shared" si="128"/>
        <v>0.87776467423148308</v>
      </c>
      <c r="AP163" s="168" t="str">
        <f t="shared" si="129"/>
        <v>-0.355651583202146+0.305990713828455i</v>
      </c>
      <c r="AQ163" s="98">
        <f t="shared" si="130"/>
        <v>-6.5734372055981005</v>
      </c>
      <c r="AR163" s="169">
        <f t="shared" si="131"/>
        <v>139.29239948465224</v>
      </c>
      <c r="AS163" s="168" t="str">
        <f t="shared" si="132"/>
        <v>5.26648390242706+9.7499093730112i</v>
      </c>
      <c r="AT163" s="190">
        <f t="shared" si="133"/>
        <v>20.891862908332364</v>
      </c>
      <c r="AU163" s="169">
        <f t="shared" si="134"/>
        <v>61.623980017675407</v>
      </c>
      <c r="AV163" s="225"/>
      <c r="AX163">
        <f t="shared" si="135"/>
        <v>0</v>
      </c>
      <c r="AY163">
        <f t="shared" si="136"/>
        <v>0</v>
      </c>
    </row>
    <row r="164" spans="14:51" x14ac:dyDescent="0.3">
      <c r="N164" s="170">
        <v>46</v>
      </c>
      <c r="O164" s="199">
        <f t="shared" si="102"/>
        <v>288.40315031266073</v>
      </c>
      <c r="P164" s="189" t="str">
        <f t="shared" si="103"/>
        <v>108.75</v>
      </c>
      <c r="Q164" s="160" t="str">
        <f t="shared" si="104"/>
        <v>1+4.59908552806242i</v>
      </c>
      <c r="R164" s="160">
        <f t="shared" si="112"/>
        <v>4.7065473220220779</v>
      </c>
      <c r="S164" s="160">
        <f t="shared" si="113"/>
        <v>1.356694368611866</v>
      </c>
      <c r="T164" s="160" t="str">
        <f t="shared" si="105"/>
        <v>1+0.000170336501039349i</v>
      </c>
      <c r="U164" s="160">
        <f t="shared" si="114"/>
        <v>1.0000000145072618</v>
      </c>
      <c r="V164" s="160">
        <f t="shared" si="115"/>
        <v>1.7033649939193822E-4</v>
      </c>
      <c r="W164" s="98" t="str">
        <f t="shared" si="106"/>
        <v>1-0.00135302752598632i</v>
      </c>
      <c r="X164" s="160">
        <f t="shared" si="116"/>
        <v>1.0000009153413241</v>
      </c>
      <c r="Y164" s="160">
        <f t="shared" si="117"/>
        <v>-1.3530267003321775E-3</v>
      </c>
      <c r="Z164" s="98" t="str">
        <f t="shared" si="107"/>
        <v>0.999998319881286+0.00260986117753562i</v>
      </c>
      <c r="AA164" s="160">
        <f t="shared" si="118"/>
        <v>1.0000017255688916</v>
      </c>
      <c r="AB164" s="160">
        <f t="shared" si="119"/>
        <v>2.6098596368325645E-3</v>
      </c>
      <c r="AC164" s="171" t="str">
        <f t="shared" si="120"/>
        <v>4.82368546248974-22.596980480418i</v>
      </c>
      <c r="AD164" s="190">
        <f t="shared" si="121"/>
        <v>27.274529807729166</v>
      </c>
      <c r="AE164" s="169">
        <f t="shared" si="122"/>
        <v>-77.950158509923313</v>
      </c>
      <c r="AF164" s="98" t="str">
        <f t="shared" si="108"/>
        <v>-0.0000366300366300366</v>
      </c>
      <c r="AG164" s="98" t="str">
        <f t="shared" si="109"/>
        <v>0.000125034240124628i</v>
      </c>
      <c r="AH164" s="98">
        <f t="shared" si="123"/>
        <v>1.25034240124628E-4</v>
      </c>
      <c r="AI164" s="98">
        <f t="shared" si="124"/>
        <v>1.5707963267948966</v>
      </c>
      <c r="AJ164" s="98" t="str">
        <f t="shared" si="110"/>
        <v>1+0.017858282563484i</v>
      </c>
      <c r="AK164" s="98">
        <f t="shared" si="125"/>
        <v>1.0001594464164787</v>
      </c>
      <c r="AL164" s="98">
        <f t="shared" si="126"/>
        <v>1.7856384482559561E-2</v>
      </c>
      <c r="AM164" s="98" t="str">
        <f t="shared" si="111"/>
        <v>1+1.2322214968804i</v>
      </c>
      <c r="AN164" s="98">
        <f t="shared" si="127"/>
        <v>1.5869372443087262</v>
      </c>
      <c r="AO164" s="98">
        <f t="shared" si="128"/>
        <v>0.88905685104126164</v>
      </c>
      <c r="AP164" s="168" t="str">
        <f t="shared" si="129"/>
        <v>-0.355646479918534+0.299311280463736i</v>
      </c>
      <c r="AQ164" s="98">
        <f t="shared" si="130"/>
        <v>-6.6540218893287983</v>
      </c>
      <c r="AR164" s="169">
        <f t="shared" si="131"/>
        <v>139.91610984364178</v>
      </c>
      <c r="AS164" s="168" t="str">
        <f t="shared" si="132"/>
        <v>5.04800440723928+9.4803200369806i</v>
      </c>
      <c r="AT164" s="190">
        <f t="shared" si="133"/>
        <v>20.620507918400371</v>
      </c>
      <c r="AU164" s="169">
        <f t="shared" si="134"/>
        <v>61.965951333718486</v>
      </c>
      <c r="AV164" s="225"/>
      <c r="AX164">
        <f t="shared" si="135"/>
        <v>0</v>
      </c>
      <c r="AY164">
        <f t="shared" si="136"/>
        <v>0</v>
      </c>
    </row>
    <row r="165" spans="14:51" x14ac:dyDescent="0.3">
      <c r="N165" s="170">
        <v>47</v>
      </c>
      <c r="O165" s="199">
        <f t="shared" si="102"/>
        <v>295.12092266663871</v>
      </c>
      <c r="P165" s="189" t="str">
        <f t="shared" si="103"/>
        <v>108.75</v>
      </c>
      <c r="Q165" s="160" t="str">
        <f t="shared" si="104"/>
        <v>1+4.7062119917661i</v>
      </c>
      <c r="R165" s="160">
        <f t="shared" si="112"/>
        <v>4.8112816703497039</v>
      </c>
      <c r="S165" s="160">
        <f t="shared" si="113"/>
        <v>1.3614251750188493</v>
      </c>
      <c r="T165" s="160" t="str">
        <f t="shared" si="105"/>
        <v>1+0.00017430414784319i</v>
      </c>
      <c r="U165" s="160">
        <f t="shared" si="114"/>
        <v>1.0000000151909678</v>
      </c>
      <c r="V165" s="160">
        <f t="shared" si="115"/>
        <v>1.7430414607795753E-4</v>
      </c>
      <c r="W165" s="98" t="str">
        <f t="shared" si="106"/>
        <v>1-0.00138454358570477i</v>
      </c>
      <c r="X165" s="160">
        <f t="shared" si="116"/>
        <v>1.0000009584800109</v>
      </c>
      <c r="Y165" s="160">
        <f t="shared" si="117"/>
        <v>-1.3845427010004629E-3</v>
      </c>
      <c r="Z165" s="98" t="str">
        <f t="shared" si="107"/>
        <v>0.99999824069973+0.0026706526537978i</v>
      </c>
      <c r="AA165" s="160">
        <f t="shared" si="118"/>
        <v>1.0000018068924439</v>
      </c>
      <c r="AB165" s="160">
        <f t="shared" si="119"/>
        <v>2.6706510029048205E-3</v>
      </c>
      <c r="AC165" s="171" t="str">
        <f t="shared" si="120"/>
        <v>4.6120989456691-22.1275606936483i</v>
      </c>
      <c r="AD165" s="190">
        <f t="shared" si="121"/>
        <v>27.083362418005233</v>
      </c>
      <c r="AE165" s="169">
        <f t="shared" si="122"/>
        <v>-78.226275243859391</v>
      </c>
      <c r="AF165" s="98" t="str">
        <f t="shared" si="108"/>
        <v>-0.0000366300366300366</v>
      </c>
      <c r="AG165" s="98" t="str">
        <f t="shared" si="109"/>
        <v>0.000127946661714681i</v>
      </c>
      <c r="AH165" s="98">
        <f t="shared" si="123"/>
        <v>1.27946661714681E-4</v>
      </c>
      <c r="AI165" s="98">
        <f t="shared" si="124"/>
        <v>1.5707963267948966</v>
      </c>
      <c r="AJ165" s="98" t="str">
        <f t="shared" si="110"/>
        <v>1+0.0182742554013828i</v>
      </c>
      <c r="AK165" s="98">
        <f t="shared" si="125"/>
        <v>1.000166960267372</v>
      </c>
      <c r="AL165" s="98">
        <f t="shared" si="126"/>
        <v>1.8272221589365589E-2</v>
      </c>
      <c r="AM165" s="98" t="str">
        <f t="shared" si="111"/>
        <v>1+1.26092362269541i</v>
      </c>
      <c r="AN165" s="98">
        <f t="shared" si="127"/>
        <v>1.6093254432436332</v>
      </c>
      <c r="AO165" s="98">
        <f t="shared" si="128"/>
        <v>0.90029564155396291</v>
      </c>
      <c r="AP165" s="168" t="str">
        <f t="shared" si="129"/>
        <v>-0.355641136281542+0.292790537312158i</v>
      </c>
      <c r="AQ165" s="98">
        <f t="shared" si="130"/>
        <v>-6.7324046504923771</v>
      </c>
      <c r="AR165" s="169">
        <f t="shared" si="131"/>
        <v>140.53621939566648</v>
      </c>
      <c r="AS165" s="168" t="str">
        <f t="shared" si="132"/>
        <v>4.83848827522001+9.21984975666716i</v>
      </c>
      <c r="AT165" s="190">
        <f t="shared" si="133"/>
        <v>20.350957767512856</v>
      </c>
      <c r="AU165" s="169">
        <f t="shared" si="134"/>
        <v>62.309944151807088</v>
      </c>
      <c r="AV165" s="225"/>
      <c r="AX165">
        <f t="shared" si="135"/>
        <v>0</v>
      </c>
      <c r="AY165">
        <f t="shared" si="136"/>
        <v>0</v>
      </c>
    </row>
    <row r="166" spans="14:51" x14ac:dyDescent="0.3">
      <c r="N166" s="170">
        <v>48</v>
      </c>
      <c r="O166" s="199">
        <f t="shared" si="102"/>
        <v>301.99517204020168</v>
      </c>
      <c r="P166" s="189" t="str">
        <f t="shared" si="103"/>
        <v>108.75</v>
      </c>
      <c r="Q166" s="160" t="str">
        <f t="shared" si="104"/>
        <v>1+4.8158337513619i</v>
      </c>
      <c r="R166" s="160">
        <f t="shared" si="112"/>
        <v>4.9185622615512798</v>
      </c>
      <c r="S166" s="160">
        <f t="shared" si="113"/>
        <v>1.3660575036927589</v>
      </c>
      <c r="T166" s="160" t="str">
        <f t="shared" si="105"/>
        <v>1+0.000178364213013404i</v>
      </c>
      <c r="U166" s="160">
        <f t="shared" si="114"/>
        <v>1.000000015906896</v>
      </c>
      <c r="V166" s="160">
        <f t="shared" si="115"/>
        <v>1.7836421112192336E-4</v>
      </c>
      <c r="W166" s="98" t="str">
        <f t="shared" si="106"/>
        <v>1-0.00141679374875896i</v>
      </c>
      <c r="X166" s="160">
        <f t="shared" si="116"/>
        <v>1.0000010036517597</v>
      </c>
      <c r="Y166" s="160">
        <f t="shared" si="117"/>
        <v>-1.4167928007812667E-3</v>
      </c>
      <c r="Z166" s="98" t="str">
        <f t="shared" si="107"/>
        <v>0.999998157786463+0.00273286014544729i</v>
      </c>
      <c r="AA166" s="160">
        <f t="shared" si="118"/>
        <v>1.0000018920486571</v>
      </c>
      <c r="AB166" s="160">
        <f t="shared" si="119"/>
        <v>2.7328583764836883E-3</v>
      </c>
      <c r="AC166" s="171" t="str">
        <f t="shared" si="120"/>
        <v>4.40922956707896-21.665992512205i</v>
      </c>
      <c r="AD166" s="190">
        <f t="shared" si="121"/>
        <v>26.891814268784053</v>
      </c>
      <c r="AE166" s="169">
        <f t="shared" si="122"/>
        <v>-78.496867516167256</v>
      </c>
      <c r="AF166" s="98" t="str">
        <f t="shared" si="108"/>
        <v>-0.0000366300366300366</v>
      </c>
      <c r="AG166" s="98" t="str">
        <f t="shared" si="109"/>
        <v>0.000130926922318349i</v>
      </c>
      <c r="AH166" s="98">
        <f t="shared" si="123"/>
        <v>1.3092692231834899E-4</v>
      </c>
      <c r="AI166" s="98">
        <f t="shared" si="124"/>
        <v>1.5707963267948966</v>
      </c>
      <c r="AJ166" s="98" t="str">
        <f t="shared" si="110"/>
        <v>1+0.0186999174913837i</v>
      </c>
      <c r="AK166" s="98">
        <f t="shared" si="125"/>
        <v>1.000174828174647</v>
      </c>
      <c r="AL166" s="98">
        <f t="shared" si="126"/>
        <v>1.8697738243117171E-2</v>
      </c>
      <c r="AM166" s="98" t="str">
        <f t="shared" si="111"/>
        <v>1+1.29029430690547i</v>
      </c>
      <c r="AN166" s="98">
        <f t="shared" si="127"/>
        <v>1.6324397074417993</v>
      </c>
      <c r="AO166" s="98">
        <f t="shared" si="128"/>
        <v>0.91147564876433773</v>
      </c>
      <c r="AP166" s="168" t="str">
        <f t="shared" si="129"/>
        <v>-0.355635540978803+0.286425026375486i</v>
      </c>
      <c r="AQ166" s="98">
        <f t="shared" si="130"/>
        <v>-6.8086075281683121</v>
      </c>
      <c r="AR166" s="169">
        <f t="shared" si="131"/>
        <v>141.15240631537421</v>
      </c>
      <c r="AS166" s="168" t="str">
        <f t="shared" si="132"/>
        <v>4.63760373437154+8.96811066296688i</v>
      </c>
      <c r="AT166" s="190">
        <f t="shared" si="133"/>
        <v>20.083206740615736</v>
      </c>
      <c r="AU166" s="169">
        <f t="shared" si="134"/>
        <v>62.655538799206965</v>
      </c>
      <c r="AV166" s="225"/>
      <c r="AX166">
        <f t="shared" si="135"/>
        <v>0</v>
      </c>
      <c r="AY166">
        <f t="shared" si="136"/>
        <v>0</v>
      </c>
    </row>
    <row r="167" spans="14:51" x14ac:dyDescent="0.3">
      <c r="N167" s="170">
        <v>49</v>
      </c>
      <c r="O167" s="199">
        <f t="shared" si="102"/>
        <v>309.02954325135937</v>
      </c>
      <c r="P167" s="189" t="str">
        <f t="shared" si="103"/>
        <v>108.75</v>
      </c>
      <c r="Q167" s="160" t="str">
        <f t="shared" si="104"/>
        <v>1+4.92800892975777i</v>
      </c>
      <c r="R167" s="160">
        <f t="shared" si="112"/>
        <v>5.02844628208081</v>
      </c>
      <c r="S167" s="160">
        <f t="shared" si="113"/>
        <v>1.3705930151626602</v>
      </c>
      <c r="T167" s="160" t="str">
        <f t="shared" si="105"/>
        <v>1+0.000182518849250288i</v>
      </c>
      <c r="U167" s="160">
        <f t="shared" si="114"/>
        <v>1.000000016656565</v>
      </c>
      <c r="V167" s="160">
        <f t="shared" si="115"/>
        <v>1.8251884722352997E-4</v>
      </c>
      <c r="W167" s="98" t="str">
        <f t="shared" si="106"/>
        <v>1-0.00144979511461222i</v>
      </c>
      <c r="X167" s="160">
        <f t="shared" si="116"/>
        <v>1.0000010509523849</v>
      </c>
      <c r="Y167" s="160">
        <f t="shared" si="117"/>
        <v>-1.4497940988358782E-3</v>
      </c>
      <c r="Z167" s="98" t="str">
        <f t="shared" si="107"/>
        <v>0.999998070965613+0.00279651663571957i</v>
      </c>
      <c r="AA167" s="160">
        <f t="shared" si="118"/>
        <v>1.000001981218158</v>
      </c>
      <c r="AB167" s="160">
        <f t="shared" si="119"/>
        <v>2.7965147402410316E-3</v>
      </c>
      <c r="AC167" s="171" t="str">
        <f t="shared" si="120"/>
        <v>4.2147515887105-21.2122690073482i</v>
      </c>
      <c r="AD167" s="190">
        <f t="shared" si="121"/>
        <v>26.699901076933607</v>
      </c>
      <c r="AE167" s="169">
        <f t="shared" si="122"/>
        <v>-78.762033214291208</v>
      </c>
      <c r="AF167" s="98" t="str">
        <f t="shared" si="108"/>
        <v>-0.0000366300366300366</v>
      </c>
      <c r="AG167" s="98" t="str">
        <f t="shared" si="109"/>
        <v>0.000133976602109254i</v>
      </c>
      <c r="AH167" s="98">
        <f t="shared" si="123"/>
        <v>1.3397660210925401E-4</v>
      </c>
      <c r="AI167" s="98">
        <f t="shared" si="124"/>
        <v>1.5707963267948966</v>
      </c>
      <c r="AJ167" s="98" t="str">
        <f t="shared" si="110"/>
        <v>1+0.0191354945251613i</v>
      </c>
      <c r="AK167" s="98">
        <f t="shared" si="125"/>
        <v>1.0001830668186311</v>
      </c>
      <c r="AL167" s="98">
        <f t="shared" si="126"/>
        <v>1.9133159441655712E-2</v>
      </c>
      <c r="AM167" s="98" t="str">
        <f t="shared" si="111"/>
        <v>1+1.32034912223612i</v>
      </c>
      <c r="AN167" s="98">
        <f t="shared" si="127"/>
        <v>1.6562976195689267</v>
      </c>
      <c r="AO167" s="98">
        <f t="shared" si="128"/>
        <v>0.92259162168390307</v>
      </c>
      <c r="AP167" s="168" t="str">
        <f t="shared" si="129"/>
        <v>-0.355629682166269+0.280211371917795i</v>
      </c>
      <c r="AQ167" s="98">
        <f t="shared" si="130"/>
        <v>-6.8826545215325314</v>
      </c>
      <c r="AR167" s="169">
        <f t="shared" si="131"/>
        <v>141.76435685186027</v>
      </c>
      <c r="AS167" s="168" t="str">
        <f t="shared" si="132"/>
        <v>4.44502823213547+8.72473381007391i</v>
      </c>
      <c r="AT167" s="190">
        <f t="shared" si="133"/>
        <v>19.81724655540107</v>
      </c>
      <c r="AU167" s="169">
        <f t="shared" si="134"/>
        <v>63.002323637569056</v>
      </c>
      <c r="AV167" s="225"/>
      <c r="AX167">
        <f t="shared" si="135"/>
        <v>0</v>
      </c>
      <c r="AY167">
        <f t="shared" si="136"/>
        <v>0</v>
      </c>
    </row>
    <row r="168" spans="14:51" x14ac:dyDescent="0.3">
      <c r="N168" s="170">
        <v>50</v>
      </c>
      <c r="O168" s="199">
        <f t="shared" si="102"/>
        <v>316.22776601683825</v>
      </c>
      <c r="P168" s="189" t="str">
        <f t="shared" si="103"/>
        <v>108.75</v>
      </c>
      <c r="Q168" s="160" t="str">
        <f t="shared" si="104"/>
        <v>1+5.0427970037181i</v>
      </c>
      <c r="R168" s="160">
        <f t="shared" si="112"/>
        <v>5.1409922797752028</v>
      </c>
      <c r="S168" s="160">
        <f t="shared" si="113"/>
        <v>1.3750333674696691</v>
      </c>
      <c r="T168" s="160" t="str">
        <f t="shared" si="105"/>
        <v>1+0.000186770259396967i</v>
      </c>
      <c r="U168" s="160">
        <f t="shared" si="114"/>
        <v>1.0000000174415646</v>
      </c>
      <c r="V168" s="160">
        <f t="shared" si="115"/>
        <v>1.8677025722525664E-4</v>
      </c>
      <c r="W168" s="98" t="str">
        <f t="shared" si="106"/>
        <v>1-0.00148356518102556i</v>
      </c>
      <c r="X168" s="160">
        <f t="shared" si="116"/>
        <v>1.0000011004822176</v>
      </c>
      <c r="Y168" s="160">
        <f t="shared" si="117"/>
        <v>-1.483564092601665E-3</v>
      </c>
      <c r="Z168" s="98" t="str">
        <f t="shared" si="107"/>
        <v>0.999997980053024+0.00286165587612838i</v>
      </c>
      <c r="AA168" s="160">
        <f t="shared" si="118"/>
        <v>1.0000020745900886</v>
      </c>
      <c r="AB168" s="160">
        <f t="shared" si="119"/>
        <v>2.8616538450866535E-3</v>
      </c>
      <c r="AC168" s="171" t="str">
        <f t="shared" si="120"/>
        <v>4.02834860024541-20.7663737004868i</v>
      </c>
      <c r="AD168" s="190">
        <f t="shared" si="121"/>
        <v>26.507637969293427</v>
      </c>
      <c r="AE168" s="169">
        <f t="shared" si="122"/>
        <v>-79.021870147089757</v>
      </c>
      <c r="AF168" s="98" t="str">
        <f t="shared" si="108"/>
        <v>-0.0000366300366300366</v>
      </c>
      <c r="AG168" s="98" t="str">
        <f t="shared" si="109"/>
        <v>0.000137097318067986i</v>
      </c>
      <c r="AH168" s="98">
        <f t="shared" si="123"/>
        <v>1.3709731806798599E-4</v>
      </c>
      <c r="AI168" s="98">
        <f t="shared" si="124"/>
        <v>1.5707963267948966</v>
      </c>
      <c r="AJ168" s="98" t="str">
        <f t="shared" si="110"/>
        <v>1+0.0195812174514242i</v>
      </c>
      <c r="AK168" s="98">
        <f t="shared" si="125"/>
        <v>1.0001916936652093</v>
      </c>
      <c r="AL168" s="98">
        <f t="shared" si="126"/>
        <v>1.9578715390267443E-2</v>
      </c>
      <c r="AM168" s="98" t="str">
        <f t="shared" si="111"/>
        <v>1+1.35110400414827i</v>
      </c>
      <c r="AN168" s="98">
        <f t="shared" si="127"/>
        <v>1.6809170205651107</v>
      </c>
      <c r="AO168" s="98">
        <f t="shared" si="128"/>
        <v>0.93363846627760594</v>
      </c>
      <c r="AP168" s="168" t="str">
        <f t="shared" si="129"/>
        <v>-0.355623547443307+0.2741462786725i</v>
      </c>
      <c r="AQ168" s="98">
        <f t="shared" si="130"/>
        <v>-6.9545714977372475</v>
      </c>
      <c r="AR168" s="169">
        <f t="shared" si="131"/>
        <v>142.37176594862393</v>
      </c>
      <c r="AS168" s="168" t="str">
        <f t="shared" si="132"/>
        <v>4.26044845195338+8.48936826085336i</v>
      </c>
      <c r="AT168" s="190">
        <f t="shared" si="133"/>
        <v>19.553066471556178</v>
      </c>
      <c r="AU168" s="169">
        <f t="shared" si="134"/>
        <v>63.349895801534124</v>
      </c>
      <c r="AV168" s="225"/>
      <c r="AX168">
        <f t="shared" si="135"/>
        <v>0</v>
      </c>
      <c r="AY168">
        <f t="shared" si="136"/>
        <v>0</v>
      </c>
    </row>
    <row r="169" spans="14:51" x14ac:dyDescent="0.3">
      <c r="N169" s="170">
        <v>51</v>
      </c>
      <c r="O169" s="199">
        <f t="shared" si="102"/>
        <v>323.59365692962825</v>
      </c>
      <c r="P169" s="189" t="str">
        <f t="shared" si="103"/>
        <v>108.75</v>
      </c>
      <c r="Q169" s="160" t="str">
        <f t="shared" si="104"/>
        <v>1+5.16025883539911i</v>
      </c>
      <c r="R169" s="160">
        <f t="shared" si="112"/>
        <v>5.2562601960247921</v>
      </c>
      <c r="S169" s="160">
        <f t="shared" si="113"/>
        <v>1.37938021422031</v>
      </c>
      <c r="T169" s="160" t="str">
        <f t="shared" si="105"/>
        <v>1+0.000191120697607375i</v>
      </c>
      <c r="U169" s="160">
        <f t="shared" si="114"/>
        <v>1.0000000182635604</v>
      </c>
      <c r="V169" s="160">
        <f t="shared" si="115"/>
        <v>1.9112069528034542E-4</v>
      </c>
      <c r="W169" s="98" t="str">
        <f t="shared" si="106"/>
        <v>1-0.00151812185333518i</v>
      </c>
      <c r="X169" s="160">
        <f t="shared" si="116"/>
        <v>1.0000011523463168</v>
      </c>
      <c r="Y169" s="160">
        <f t="shared" si="117"/>
        <v>-1.5181206870680366E-3</v>
      </c>
      <c r="Z169" s="98" t="str">
        <f t="shared" si="107"/>
        <v>0.999997884855856+0.00292831240436121i</v>
      </c>
      <c r="AA169" s="160">
        <f t="shared" si="118"/>
        <v>1.0000021723625021</v>
      </c>
      <c r="AB169" s="160">
        <f t="shared" si="119"/>
        <v>2.9283102280609273E-3</v>
      </c>
      <c r="AC169" s="171" t="str">
        <f t="shared" si="120"/>
        <v>3.84971350509129-20.3282812546399i</v>
      </c>
      <c r="AD169" s="190">
        <f t="shared" si="121"/>
        <v>26.31503949980425</v>
      </c>
      <c r="AE169" s="169">
        <f t="shared" si="122"/>
        <v>-79.27647593479135</v>
      </c>
      <c r="AF169" s="98" t="str">
        <f t="shared" si="108"/>
        <v>-0.0000366300366300366</v>
      </c>
      <c r="AG169" s="98" t="str">
        <f t="shared" si="109"/>
        <v>0.000140290724839456i</v>
      </c>
      <c r="AH169" s="98">
        <f t="shared" si="123"/>
        <v>1.4029072483945601E-4</v>
      </c>
      <c r="AI169" s="98">
        <f t="shared" si="124"/>
        <v>1.5707963267948966</v>
      </c>
      <c r="AJ169" s="98" t="str">
        <f t="shared" si="110"/>
        <v>1+0.020037322598368i</v>
      </c>
      <c r="AK169" s="98">
        <f t="shared" si="125"/>
        <v>1.0002007270027906</v>
      </c>
      <c r="AL169" s="98">
        <f t="shared" si="126"/>
        <v>2.0034641620593874E-2</v>
      </c>
      <c r="AM169" s="98" t="str">
        <f t="shared" si="111"/>
        <v>1+1.38257525928739i</v>
      </c>
      <c r="AN169" s="98">
        <f t="shared" si="127"/>
        <v>1.7063160163327289</v>
      </c>
      <c r="AO169" s="98">
        <f t="shared" si="128"/>
        <v>0.9446112554979248</v>
      </c>
      <c r="AP169" s="168" t="str">
        <f t="shared" si="129"/>
        <v>-0.3556171238266+0.268226530091788i</v>
      </c>
      <c r="AQ169" s="98">
        <f t="shared" si="130"/>
        <v>-7.0243860943520708</v>
      </c>
      <c r="AR169" s="169">
        <f t="shared" si="131"/>
        <v>142.97433781166777</v>
      </c>
      <c r="AS169" s="168" t="str">
        <f t="shared" si="132"/>
        <v>4.08356029942502+8.26168020743136i</v>
      </c>
      <c r="AT169" s="190">
        <f t="shared" si="133"/>
        <v>19.290653405452179</v>
      </c>
      <c r="AU169" s="169">
        <f t="shared" si="134"/>
        <v>63.697861876876402</v>
      </c>
      <c r="AV169" s="225"/>
      <c r="AX169">
        <f t="shared" si="135"/>
        <v>0</v>
      </c>
      <c r="AY169">
        <f t="shared" si="136"/>
        <v>0</v>
      </c>
    </row>
    <row r="170" spans="14:51" x14ac:dyDescent="0.3">
      <c r="N170" s="170">
        <v>52</v>
      </c>
      <c r="O170" s="199">
        <f t="shared" si="102"/>
        <v>331.13112148259137</v>
      </c>
      <c r="P170" s="189" t="str">
        <f t="shared" si="103"/>
        <v>108.75</v>
      </c>
      <c r="Q170" s="160" t="str">
        <f t="shared" si="104"/>
        <v>1+5.28045670461877i</v>
      </c>
      <c r="R170" s="160">
        <f t="shared" si="112"/>
        <v>5.374311398621531</v>
      </c>
      <c r="S170" s="160">
        <f t="shared" si="113"/>
        <v>1.3836352027828864</v>
      </c>
      <c r="T170" s="160" t="str">
        <f t="shared" si="105"/>
        <v>1+0.000195572470541437i</v>
      </c>
      <c r="U170" s="160">
        <f t="shared" si="114"/>
        <v>1.0000000191242955</v>
      </c>
      <c r="V170" s="160">
        <f t="shared" si="115"/>
        <v>1.9557246804797991E-4</v>
      </c>
      <c r="W170" s="98" t="str">
        <f t="shared" si="106"/>
        <v>1-0.00155348345394616i</v>
      </c>
      <c r="X170" s="160">
        <f t="shared" si="116"/>
        <v>1.0000012066546928</v>
      </c>
      <c r="Y170" s="160">
        <f t="shared" si="117"/>
        <v>-1.5534822042684822E-3</v>
      </c>
      <c r="Z170" s="98" t="str">
        <f t="shared" si="107"/>
        <v>0.999997785172183+0.00299652156259164i</v>
      </c>
      <c r="AA170" s="160">
        <f t="shared" si="118"/>
        <v>1.0000022747427859</v>
      </c>
      <c r="AB170" s="160">
        <f t="shared" si="119"/>
        <v>2.9965192306440291E-3</v>
      </c>
      <c r="AC170" s="171" t="str">
        <f t="shared" si="120"/>
        <v>3.67854847878472-19.8979581350015i</v>
      </c>
      <c r="AD170" s="190">
        <f t="shared" si="121"/>
        <v>26.122119666587249</v>
      </c>
      <c r="AE170" s="169">
        <f t="shared" si="122"/>
        <v>-79.525947907178107</v>
      </c>
      <c r="AF170" s="98" t="str">
        <f t="shared" si="108"/>
        <v>-0.0000366300366300366</v>
      </c>
      <c r="AG170" s="98" t="str">
        <f t="shared" si="109"/>
        <v>0.000143558515610203i</v>
      </c>
      <c r="AH170" s="98">
        <f t="shared" si="123"/>
        <v>1.4355851561020301E-4</v>
      </c>
      <c r="AI170" s="98">
        <f t="shared" si="124"/>
        <v>1.5707963267948966</v>
      </c>
      <c r="AJ170" s="98" t="str">
        <f t="shared" si="110"/>
        <v>1+0.0205040517989788i</v>
      </c>
      <c r="AK170" s="98">
        <f t="shared" si="125"/>
        <v>1.0002101859810144</v>
      </c>
      <c r="AL170" s="98">
        <f t="shared" si="126"/>
        <v>2.050117911213991E-2</v>
      </c>
      <c r="AM170" s="98" t="str">
        <f t="shared" si="111"/>
        <v>1+1.41477957412954i</v>
      </c>
      <c r="AN170" s="98">
        <f t="shared" si="127"/>
        <v>1.7325129850521068</v>
      </c>
      <c r="AO170" s="98">
        <f t="shared" si="128"/>
        <v>0.95550523838000234</v>
      </c>
      <c r="AP170" s="168" t="str">
        <f t="shared" si="129"/>
        <v>-0.355610397722885+0.262448986637586i</v>
      </c>
      <c r="AQ170" s="98">
        <f t="shared" si="130"/>
        <v>-7.0921276171224212</v>
      </c>
      <c r="AR170" s="169">
        <f t="shared" si="131"/>
        <v>143.57178642364835</v>
      </c>
      <c r="AS170" s="168" t="str">
        <f t="shared" si="132"/>
        <v>3.91406886110471+8.04135212681548i</v>
      </c>
      <c r="AT170" s="190">
        <f t="shared" si="133"/>
        <v>19.02999204946483</v>
      </c>
      <c r="AU170" s="169">
        <f t="shared" si="134"/>
        <v>64.045838516470226</v>
      </c>
      <c r="AV170" s="225"/>
      <c r="AX170">
        <f t="shared" si="135"/>
        <v>0</v>
      </c>
      <c r="AY170">
        <f t="shared" si="136"/>
        <v>0</v>
      </c>
    </row>
    <row r="171" spans="14:51" x14ac:dyDescent="0.3">
      <c r="N171" s="170">
        <v>53</v>
      </c>
      <c r="O171" s="199">
        <f t="shared" si="102"/>
        <v>338.84415613920277</v>
      </c>
      <c r="P171" s="189" t="str">
        <f t="shared" si="103"/>
        <v>108.75</v>
      </c>
      <c r="Q171" s="160" t="str">
        <f t="shared" si="104"/>
        <v>1+5.40345434187829i</v>
      </c>
      <c r="R171" s="160">
        <f t="shared" si="112"/>
        <v>5.4952087153049369</v>
      </c>
      <c r="S171" s="160">
        <f t="shared" si="113"/>
        <v>1.3877999726203487</v>
      </c>
      <c r="T171" s="160" t="str">
        <f t="shared" si="105"/>
        <v>1+0.000200127938588085i</v>
      </c>
      <c r="U171" s="160">
        <f t="shared" si="114"/>
        <v>1.0000000200255956</v>
      </c>
      <c r="V171" s="160">
        <f t="shared" si="115"/>
        <v>2.0012793591629756E-4</v>
      </c>
      <c r="W171" s="98" t="str">
        <f t="shared" si="106"/>
        <v>1-0.00158966873204721i</v>
      </c>
      <c r="X171" s="160">
        <f t="shared" si="116"/>
        <v>1.0000012635225406</v>
      </c>
      <c r="Y171" s="160">
        <f t="shared" si="117"/>
        <v>-1.5896673929935443E-3</v>
      </c>
      <c r="Z171" s="98" t="str">
        <f t="shared" si="107"/>
        <v>0.999997680790564+0.00306631951621819i</v>
      </c>
      <c r="AA171" s="160">
        <f t="shared" si="118"/>
        <v>1.0000023819481043</v>
      </c>
      <c r="AB171" s="160">
        <f t="shared" si="119"/>
        <v>3.0663170174914781E-3</v>
      </c>
      <c r="AC171" s="171" t="str">
        <f t="shared" si="120"/>
        <v>3.51456490264445-19.475363238855i</v>
      </c>
      <c r="AD171" s="190">
        <f t="shared" si="121"/>
        <v>25.92889192892271</v>
      </c>
      <c r="AE171" s="169">
        <f t="shared" si="122"/>
        <v>-79.770383009626045</v>
      </c>
      <c r="AF171" s="98" t="str">
        <f t="shared" si="108"/>
        <v>-0.0000366300366300366</v>
      </c>
      <c r="AG171" s="98" t="str">
        <f t="shared" si="109"/>
        <v>0.000146902423006148i</v>
      </c>
      <c r="AH171" s="98">
        <f t="shared" si="123"/>
        <v>1.4690242300614801E-4</v>
      </c>
      <c r="AI171" s="98">
        <f t="shared" si="124"/>
        <v>1.5707963267948966</v>
      </c>
      <c r="AJ171" s="98" t="str">
        <f t="shared" si="110"/>
        <v>1+0.0209816525192565i</v>
      </c>
      <c r="AK171" s="98">
        <f t="shared" si="125"/>
        <v>1.0002200906512719</v>
      </c>
      <c r="AL171" s="98">
        <f t="shared" si="126"/>
        <v>2.0978574416430886E-2</v>
      </c>
      <c r="AM171" s="98" t="str">
        <f t="shared" si="111"/>
        <v>1+1.4477340238287i</v>
      </c>
      <c r="AN171" s="98">
        <f t="shared" si="127"/>
        <v>1.7595265851220432</v>
      </c>
      <c r="AO171" s="98">
        <f t="shared" si="128"/>
        <v>0.96631584817066485</v>
      </c>
      <c r="AP171" s="168" t="str">
        <f t="shared" si="129"/>
        <v>-0.355603354900362+0.256810584113077i</v>
      </c>
      <c r="AQ171" s="98">
        <f t="shared" si="130"/>
        <v>-7.1578269338200053</v>
      </c>
      <c r="AR171" s="169">
        <f t="shared" si="131"/>
        <v>144.1638360025209</v>
      </c>
      <c r="AS171" s="168" t="str">
        <f t="shared" si="132"/>
        <v>3.75168833878927+7.82808197119146i</v>
      </c>
      <c r="AT171" s="190">
        <f t="shared" si="133"/>
        <v>18.771064995102705</v>
      </c>
      <c r="AU171" s="169">
        <f t="shared" si="134"/>
        <v>64.393452992894879</v>
      </c>
      <c r="AV171" s="225"/>
      <c r="AX171">
        <f t="shared" si="135"/>
        <v>0</v>
      </c>
      <c r="AY171">
        <f t="shared" si="136"/>
        <v>0</v>
      </c>
    </row>
    <row r="172" spans="14:51" x14ac:dyDescent="0.3">
      <c r="N172" s="170">
        <v>54</v>
      </c>
      <c r="O172" s="199">
        <f t="shared" si="102"/>
        <v>346.73685045253183</v>
      </c>
      <c r="P172" s="189" t="str">
        <f t="shared" si="103"/>
        <v>108.75</v>
      </c>
      <c r="Q172" s="160" t="str">
        <f t="shared" si="104"/>
        <v>1+5.52931696215307i</v>
      </c>
      <c r="R172" s="160">
        <f t="shared" si="112"/>
        <v>5.6190164680265582</v>
      </c>
      <c r="S172" s="160">
        <f t="shared" si="113"/>
        <v>1.3918761537532263</v>
      </c>
      <c r="T172" s="160" t="str">
        <f t="shared" si="105"/>
        <v>1+0.000204789517116781i</v>
      </c>
      <c r="U172" s="160">
        <f t="shared" si="114"/>
        <v>1.0000000209693729</v>
      </c>
      <c r="V172" s="160">
        <f t="shared" si="115"/>
        <v>2.0478951425390918E-4</v>
      </c>
      <c r="W172" s="98" t="str">
        <f t="shared" si="106"/>
        <v>1-0.00162669687355174i</v>
      </c>
      <c r="X172" s="160">
        <f t="shared" si="116"/>
        <v>1.0000013230704841</v>
      </c>
      <c r="Y172" s="160">
        <f t="shared" si="117"/>
        <v>-1.626695438729989E-3</v>
      </c>
      <c r="Z172" s="98" t="str">
        <f t="shared" si="107"/>
        <v>0.99999757148959+0.00313774327303979i</v>
      </c>
      <c r="AA172" s="160">
        <f t="shared" si="118"/>
        <v>1.0000024942058521</v>
      </c>
      <c r="AB172" s="160">
        <f t="shared" si="119"/>
        <v>3.1377405956060762E-3</v>
      </c>
      <c r="AC172" s="171" t="str">
        <f t="shared" si="120"/>
        <v>3.35748327537604-19.0604484952317i</v>
      </c>
      <c r="AD172" s="190">
        <f t="shared" si="121"/>
        <v>25.735369224086277</v>
      </c>
      <c r="AE172" s="169">
        <f t="shared" si="122"/>
        <v>-80.009877716634193</v>
      </c>
      <c r="AF172" s="98" t="str">
        <f t="shared" si="108"/>
        <v>-0.0000366300366300366</v>
      </c>
      <c r="AG172" s="98" t="str">
        <f t="shared" si="109"/>
        <v>0.000150324220011254i</v>
      </c>
      <c r="AH172" s="98">
        <f t="shared" si="123"/>
        <v>1.50324220011254E-4</v>
      </c>
      <c r="AI172" s="98">
        <f t="shared" si="124"/>
        <v>1.5707963267948966</v>
      </c>
      <c r="AJ172" s="98" t="str">
        <f t="shared" si="110"/>
        <v>1+0.0214703779894251i</v>
      </c>
      <c r="AK172" s="98">
        <f t="shared" si="125"/>
        <v>1.0002304620091356</v>
      </c>
      <c r="AL172" s="98">
        <f t="shared" si="126"/>
        <v>2.1467079783866375E-2</v>
      </c>
      <c r="AM172" s="98" t="str">
        <f t="shared" si="111"/>
        <v>1+1.48145608127033i</v>
      </c>
      <c r="AN172" s="98">
        <f t="shared" si="127"/>
        <v>1.7873757637197731</v>
      </c>
      <c r="AO172" s="98">
        <f t="shared" si="128"/>
        <v>0.97703870947354921</v>
      </c>
      <c r="AP172" s="168" t="str">
        <f t="shared" si="129"/>
        <v>-0.355595980458832+0.251308332033906i</v>
      </c>
      <c r="AQ172" s="98">
        <f t="shared" si="130"/>
        <v>-7.2215163649601211</v>
      </c>
      <c r="AR172" s="169">
        <f t="shared" si="131"/>
        <v>144.75022140365687</v>
      </c>
      <c r="AS172" s="168" t="str">
        <f t="shared" si="132"/>
        <v>3.59614196197338+7.62158239241347i</v>
      </c>
      <c r="AT172" s="190">
        <f t="shared" si="133"/>
        <v>18.51385285912615</v>
      </c>
      <c r="AU172" s="169">
        <f t="shared" si="134"/>
        <v>64.74034368702263</v>
      </c>
      <c r="AV172" s="225"/>
      <c r="AX172">
        <f t="shared" si="135"/>
        <v>0</v>
      </c>
      <c r="AY172">
        <f t="shared" si="136"/>
        <v>0</v>
      </c>
    </row>
    <row r="173" spans="14:51" x14ac:dyDescent="0.3">
      <c r="N173" s="170">
        <v>55</v>
      </c>
      <c r="O173" s="199">
        <f t="shared" si="102"/>
        <v>354.81338923357566</v>
      </c>
      <c r="P173" s="189" t="str">
        <f t="shared" si="103"/>
        <v>108.75</v>
      </c>
      <c r="Q173" s="160" t="str">
        <f t="shared" si="104"/>
        <v>1+5.65811129947034i</v>
      </c>
      <c r="R173" s="160">
        <f t="shared" si="112"/>
        <v>5.7458005079530858</v>
      </c>
      <c r="S173" s="160">
        <f t="shared" si="113"/>
        <v>1.3958653653462516</v>
      </c>
      <c r="T173" s="160" t="str">
        <f t="shared" si="105"/>
        <v>1+0.000209559677758162i</v>
      </c>
      <c r="U173" s="160">
        <f t="shared" si="114"/>
        <v>1.000000021957629</v>
      </c>
      <c r="V173" s="160">
        <f t="shared" si="115"/>
        <v>2.0955967469053961E-4</v>
      </c>
      <c r="W173" s="98" t="str">
        <f t="shared" si="106"/>
        <v>1-0.0016645875112705i</v>
      </c>
      <c r="X173" s="160">
        <f t="shared" si="116"/>
        <v>1.0000013854248315</v>
      </c>
      <c r="Y173" s="160">
        <f t="shared" si="117"/>
        <v>-1.6645859738314093E-3</v>
      </c>
      <c r="Z173" s="98" t="str">
        <f t="shared" si="107"/>
        <v>0.999997457037421+0.00321083070287769i</v>
      </c>
      <c r="AA173" s="160">
        <f t="shared" si="118"/>
        <v>1.0000026117541452</v>
      </c>
      <c r="AB173" s="160">
        <f t="shared" si="119"/>
        <v>3.2108278339559931E-3</v>
      </c>
      <c r="AC173" s="171" t="str">
        <f t="shared" si="120"/>
        <v>3.20703310515129-18.6531594348249i</v>
      </c>
      <c r="AD173" s="190">
        <f t="shared" si="121"/>
        <v>25.541563984004611</v>
      </c>
      <c r="AE173" s="169">
        <f t="shared" si="122"/>
        <v>-80.244527952477085</v>
      </c>
      <c r="AF173" s="98" t="str">
        <f t="shared" si="108"/>
        <v>-0.0000366300366300366</v>
      </c>
      <c r="AG173" s="98" t="str">
        <f t="shared" si="109"/>
        <v>0.000153825720907587i</v>
      </c>
      <c r="AH173" s="98">
        <f t="shared" si="123"/>
        <v>1.53825720907587E-4</v>
      </c>
      <c r="AI173" s="98">
        <f t="shared" si="124"/>
        <v>1.5707963267948966</v>
      </c>
      <c r="AJ173" s="98" t="str">
        <f t="shared" si="110"/>
        <v>1+0.0219704873381976i</v>
      </c>
      <c r="AK173" s="98">
        <f t="shared" si="125"/>
        <v>1.0002413220387758</v>
      </c>
      <c r="AL173" s="98">
        <f t="shared" si="126"/>
        <v>2.1966953293317742E-2</v>
      </c>
      <c r="AM173" s="98" t="str">
        <f t="shared" si="111"/>
        <v>1+1.51596362633563i</v>
      </c>
      <c r="AN173" s="98">
        <f t="shared" si="127"/>
        <v>1.8160797659719334</v>
      </c>
      <c r="AO173" s="98">
        <f t="shared" si="128"/>
        <v>0.98766964440140992</v>
      </c>
      <c r="AP173" s="168" t="str">
        <f t="shared" si="129"/>
        <v>-0.355588258798389+0.245939312038164i</v>
      </c>
      <c r="AQ173" s="98">
        <f t="shared" si="130"/>
        <v>-7.2832295721607299</v>
      </c>
      <c r="AR173" s="169">
        <f t="shared" si="131"/>
        <v>145.33068846491943</v>
      </c>
      <c r="AS173" s="168" t="str">
        <f t="shared" si="132"/>
        <v>3.44716188096949+7.42158000008265i</v>
      </c>
      <c r="AT173" s="190">
        <f t="shared" si="133"/>
        <v>18.25833441184388</v>
      </c>
      <c r="AU173" s="169">
        <f t="shared" si="134"/>
        <v>65.086160512442319</v>
      </c>
      <c r="AV173" s="225"/>
      <c r="AX173">
        <f t="shared" si="135"/>
        <v>0</v>
      </c>
      <c r="AY173">
        <f t="shared" si="136"/>
        <v>0</v>
      </c>
    </row>
    <row r="174" spans="14:51" x14ac:dyDescent="0.3">
      <c r="N174" s="170">
        <v>56</v>
      </c>
      <c r="O174" s="199">
        <f t="shared" si="102"/>
        <v>363.07805477010152</v>
      </c>
      <c r="P174" s="189" t="str">
        <f t="shared" si="103"/>
        <v>108.75</v>
      </c>
      <c r="Q174" s="160" t="str">
        <f t="shared" si="104"/>
        <v>1+5.78990564229257i</v>
      </c>
      <c r="R174" s="160">
        <f t="shared" si="112"/>
        <v>5.8756282512299345</v>
      </c>
      <c r="S174" s="160">
        <f t="shared" si="113"/>
        <v>1.399769214412474</v>
      </c>
      <c r="T174" s="160" t="str">
        <f t="shared" si="105"/>
        <v>1+0.00021444094971454i</v>
      </c>
      <c r="U174" s="160">
        <f t="shared" si="114"/>
        <v>1.0000000229924602</v>
      </c>
      <c r="V174" s="160">
        <f t="shared" si="115"/>
        <v>2.1444094642752339E-4</v>
      </c>
      <c r="W174" s="98" t="str">
        <f t="shared" si="106"/>
        <v>1-0.00170336073532117i</v>
      </c>
      <c r="X174" s="160">
        <f t="shared" si="116"/>
        <v>1.000001450717845</v>
      </c>
      <c r="Y174" s="160">
        <f t="shared" si="117"/>
        <v>-1.7033590879256327E-3</v>
      </c>
      <c r="Z174" s="98" t="str">
        <f t="shared" si="107"/>
        <v>0.999997337191287+0.00328562055765464i</v>
      </c>
      <c r="AA174" s="160">
        <f t="shared" si="118"/>
        <v>1.0000027348423171</v>
      </c>
      <c r="AB174" s="160">
        <f t="shared" si="119"/>
        <v>3.2856174835499004E-3</v>
      </c>
      <c r="AC174" s="171" t="str">
        <f t="shared" si="120"/>
        <v>3.0629527845096-18.2534357307727i</v>
      </c>
      <c r="AD174" s="190">
        <f t="shared" si="121"/>
        <v>25.347488151696417</v>
      </c>
      <c r="AE174" s="169">
        <f t="shared" si="122"/>
        <v>-80.474429018627674</v>
      </c>
      <c r="AF174" s="98" t="str">
        <f t="shared" si="108"/>
        <v>-0.0000366300366300366</v>
      </c>
      <c r="AG174" s="98" t="str">
        <f t="shared" si="109"/>
        <v>0.000157408782237268i</v>
      </c>
      <c r="AH174" s="98">
        <f t="shared" si="123"/>
        <v>1.5740878223726801E-4</v>
      </c>
      <c r="AI174" s="98">
        <f t="shared" si="124"/>
        <v>1.5707963267948966</v>
      </c>
      <c r="AJ174" s="98" t="str">
        <f t="shared" si="110"/>
        <v>1+0.0224822457301707i</v>
      </c>
      <c r="AK174" s="98">
        <f t="shared" si="125"/>
        <v>1.0002526937594678</v>
      </c>
      <c r="AL174" s="98">
        <f t="shared" si="126"/>
        <v>2.2478458984522498E-2</v>
      </c>
      <c r="AM174" s="98" t="str">
        <f t="shared" si="111"/>
        <v>1+1.55127495538178i</v>
      </c>
      <c r="AN174" s="98">
        <f t="shared" si="127"/>
        <v>1.8456581447263585</v>
      </c>
      <c r="AO174" s="98">
        <f t="shared" si="128"/>
        <v>0.99820467773562371</v>
      </c>
      <c r="AP174" s="168" t="str">
        <f t="shared" si="129"/>
        <v>-0.355580173586727+0.240700676334311i</v>
      </c>
      <c r="AQ174" s="98">
        <f t="shared" si="130"/>
        <v>-7.3430014449012058</v>
      </c>
      <c r="AR174" s="169">
        <f t="shared" si="131"/>
        <v>145.90499429469665</v>
      </c>
      <c r="AS174" s="168" t="str">
        <f t="shared" si="132"/>
        <v>3.304489043018+7.22781465251384i</v>
      </c>
      <c r="AT174" s="190">
        <f t="shared" si="133"/>
        <v>18.004486706795205</v>
      </c>
      <c r="AU174" s="169">
        <f t="shared" si="134"/>
        <v>65.430565276068918</v>
      </c>
      <c r="AV174" s="225"/>
      <c r="AX174">
        <f t="shared" si="135"/>
        <v>0</v>
      </c>
      <c r="AY174">
        <f t="shared" si="136"/>
        <v>0</v>
      </c>
    </row>
    <row r="175" spans="14:51" x14ac:dyDescent="0.3">
      <c r="N175" s="170">
        <v>57</v>
      </c>
      <c r="O175" s="199">
        <f t="shared" si="102"/>
        <v>371.53522909717265</v>
      </c>
      <c r="P175" s="189" t="str">
        <f t="shared" si="103"/>
        <v>108.75</v>
      </c>
      <c r="Q175" s="160" t="str">
        <f t="shared" si="104"/>
        <v>1+5.92476986972479i</v>
      </c>
      <c r="R175" s="160">
        <f t="shared" si="112"/>
        <v>6.0085687155260779</v>
      </c>
      <c r="S175" s="160">
        <f t="shared" si="113"/>
        <v>1.4035892946287503</v>
      </c>
      <c r="T175" s="160" t="str">
        <f t="shared" si="105"/>
        <v>1+0.000219435921100919i</v>
      </c>
      <c r="U175" s="160">
        <f t="shared" si="114"/>
        <v>1.0000000240760614</v>
      </c>
      <c r="V175" s="160">
        <f t="shared" si="115"/>
        <v>2.1943591757881726E-4</v>
      </c>
      <c r="W175" s="98" t="str">
        <f t="shared" si="106"/>
        <v>1-0.00174303710378035i</v>
      </c>
      <c r="X175" s="160">
        <f t="shared" si="116"/>
        <v>1.0000015190880187</v>
      </c>
      <c r="Y175" s="160">
        <f t="shared" si="117"/>
        <v>-1.7430353385643734E-3</v>
      </c>
      <c r="Z175" s="98" t="str">
        <f t="shared" si="107"/>
        <v>0.999997211696978+0.00336215249194158i</v>
      </c>
      <c r="AA175" s="160">
        <f t="shared" si="118"/>
        <v>1.0000028637314544</v>
      </c>
      <c r="AB175" s="160">
        <f t="shared" si="119"/>
        <v>3.3621491979792819E-3</v>
      </c>
      <c r="AC175" s="171" t="str">
        <f t="shared" si="120"/>
        <v>2.9249894502621-17.8612117110085i</v>
      </c>
      <c r="AD175" s="190">
        <f t="shared" si="121"/>
        <v>25.153153197469294</v>
      </c>
      <c r="AE175" s="169">
        <f t="shared" si="122"/>
        <v>-80.699675527600192</v>
      </c>
      <c r="AF175" s="98" t="str">
        <f t="shared" si="108"/>
        <v>-0.0000366300366300366</v>
      </c>
      <c r="AG175" s="98" t="str">
        <f t="shared" si="109"/>
        <v>0.000161075303786844i</v>
      </c>
      <c r="AH175" s="98">
        <f t="shared" si="123"/>
        <v>1.6107530378684401E-4</v>
      </c>
      <c r="AI175" s="98">
        <f t="shared" si="124"/>
        <v>1.5707963267948966</v>
      </c>
      <c r="AJ175" s="98" t="str">
        <f t="shared" si="110"/>
        <v>1+0.0230059245064176i</v>
      </c>
      <c r="AK175" s="98">
        <f t="shared" si="125"/>
        <v>1.0002646012742802</v>
      </c>
      <c r="AL175" s="98">
        <f t="shared" si="126"/>
        <v>2.3001866993319967E-2</v>
      </c>
      <c r="AM175" s="98" t="str">
        <f t="shared" si="111"/>
        <v>1+1.58740879094281i</v>
      </c>
      <c r="AN175" s="98">
        <f t="shared" si="127"/>
        <v>1.8761307709119091</v>
      </c>
      <c r="AO175" s="98">
        <f t="shared" si="128"/>
        <v>1.0086400411009615</v>
      </c>
      <c r="AP175" s="168" t="str">
        <f t="shared" si="129"/>
        <v>-0.355571707724839+0.23558964618616i</v>
      </c>
      <c r="AQ175" s="98">
        <f t="shared" si="130"/>
        <v>-7.4008679864233917</v>
      </c>
      <c r="AR175" s="169">
        <f t="shared" si="131"/>
        <v>146.47290750334849</v>
      </c>
      <c r="AS175" s="168" t="str">
        <f t="shared" si="132"/>
        <v>3.16787305354576+7.04003877980368i</v>
      </c>
      <c r="AT175" s="190">
        <f t="shared" si="133"/>
        <v>17.752285211045901</v>
      </c>
      <c r="AU175" s="169">
        <f t="shared" si="134"/>
        <v>65.773231975748274</v>
      </c>
      <c r="AV175" s="225"/>
      <c r="AX175">
        <f t="shared" si="135"/>
        <v>0</v>
      </c>
      <c r="AY175">
        <f t="shared" si="136"/>
        <v>0</v>
      </c>
    </row>
    <row r="176" spans="14:51" x14ac:dyDescent="0.3">
      <c r="N176" s="170">
        <v>58</v>
      </c>
      <c r="O176" s="199">
        <f t="shared" si="102"/>
        <v>380.18939632056163</v>
      </c>
      <c r="P176" s="189" t="str">
        <f t="shared" si="103"/>
        <v>108.75</v>
      </c>
      <c r="Q176" s="160" t="str">
        <f t="shared" si="104"/>
        <v>1+6.06277548856553i</v>
      </c>
      <c r="R176" s="160">
        <f t="shared" si="112"/>
        <v>6.1446925573824274</v>
      </c>
      <c r="S176" s="160">
        <f t="shared" si="113"/>
        <v>1.4073271852566949</v>
      </c>
      <c r="T176" s="160" t="str">
        <f t="shared" si="105"/>
        <v>1+0.000224547240317243i</v>
      </c>
      <c r="U176" s="160">
        <f t="shared" si="114"/>
        <v>1.0000000252107313</v>
      </c>
      <c r="V176" s="160">
        <f t="shared" si="115"/>
        <v>2.2454723654324299E-4</v>
      </c>
      <c r="W176" s="98" t="str">
        <f t="shared" si="106"/>
        <v>1-0.00178363765358377i</v>
      </c>
      <c r="X176" s="160">
        <f t="shared" si="116"/>
        <v>1.0000015906803745</v>
      </c>
      <c r="Y176" s="160">
        <f t="shared" si="117"/>
        <v>-1.7836357621209356E-3</v>
      </c>
      <c r="Z176" s="98" t="str">
        <f t="shared" si="107"/>
        <v>0.999997080288305+0.00344046708398309i</v>
      </c>
      <c r="AA176" s="160">
        <f t="shared" si="118"/>
        <v>1.0000029986949495</v>
      </c>
      <c r="AB176" s="160">
        <f t="shared" si="119"/>
        <v>3.4404635544392041E-3</v>
      </c>
      <c r="AC176" s="171" t="str">
        <f t="shared" si="120"/>
        <v>2.79289883041545-17.4764168429478i</v>
      </c>
      <c r="AD176" s="190">
        <f t="shared" si="121"/>
        <v>24.958570134846568</v>
      </c>
      <c r="AE176" s="169">
        <f t="shared" si="122"/>
        <v>-80.920361342875182</v>
      </c>
      <c r="AF176" s="98" t="str">
        <f t="shared" si="108"/>
        <v>-0.0000366300366300366</v>
      </c>
      <c r="AG176" s="98" t="str">
        <f t="shared" si="109"/>
        <v>0.000164827229594571i</v>
      </c>
      <c r="AH176" s="98">
        <f t="shared" si="123"/>
        <v>1.6482722959457099E-4</v>
      </c>
      <c r="AI176" s="98">
        <f t="shared" si="124"/>
        <v>1.5707963267948966</v>
      </c>
      <c r="AJ176" s="98" t="str">
        <f t="shared" si="110"/>
        <v>1+0.0235418013283572i</v>
      </c>
      <c r="AK176" s="98">
        <f t="shared" si="125"/>
        <v>1.000277069821049</v>
      </c>
      <c r="AL176" s="98">
        <f t="shared" si="126"/>
        <v>2.3537453689781225E-2</v>
      </c>
      <c r="AM176" s="98" t="str">
        <f t="shared" si="111"/>
        <v>1+1.62438429165664i</v>
      </c>
      <c r="AN176" s="98">
        <f t="shared" si="127"/>
        <v>1.9075178444724559</v>
      </c>
      <c r="AO176" s="98">
        <f t="shared" si="128"/>
        <v>1.018972176171703</v>
      </c>
      <c r="AP176" s="168" t="str">
        <f t="shared" si="129"/>
        <v>-0.355562843311229+0.230603510434138i</v>
      </c>
      <c r="AQ176" s="98">
        <f t="shared" si="130"/>
        <v>-7.4568661994834597</v>
      </c>
      <c r="AR176" s="169">
        <f t="shared" si="131"/>
        <v>147.03420837899054</v>
      </c>
      <c r="AS176" s="168" t="str">
        <f t="shared" si="132"/>
        <v>3.03707202457093+6.85801673815197i</v>
      </c>
      <c r="AT176" s="190">
        <f t="shared" si="133"/>
        <v>17.501703935363103</v>
      </c>
      <c r="AU176" s="169">
        <f t="shared" si="134"/>
        <v>66.113847036115388</v>
      </c>
      <c r="AV176" s="225"/>
      <c r="AX176">
        <f t="shared" si="135"/>
        <v>0</v>
      </c>
      <c r="AY176">
        <f t="shared" si="136"/>
        <v>0</v>
      </c>
    </row>
    <row r="177" spans="14:51" x14ac:dyDescent="0.3">
      <c r="N177" s="170">
        <v>59</v>
      </c>
      <c r="O177" s="199">
        <f t="shared" si="102"/>
        <v>389.04514499428063</v>
      </c>
      <c r="P177" s="189" t="str">
        <f t="shared" si="103"/>
        <v>108.75</v>
      </c>
      <c r="Q177" s="160" t="str">
        <f t="shared" si="104"/>
        <v>1+6.20399567122063i</v>
      </c>
      <c r="R177" s="160">
        <f t="shared" si="112"/>
        <v>6.2840721103854547</v>
      </c>
      <c r="S177" s="160">
        <f t="shared" si="113"/>
        <v>1.4109844501633106</v>
      </c>
      <c r="T177" s="160" t="str">
        <f t="shared" si="105"/>
        <v>1+0.000229777617452617i</v>
      </c>
      <c r="U177" s="160">
        <f t="shared" si="114"/>
        <v>1.0000000263988764</v>
      </c>
      <c r="V177" s="160">
        <f t="shared" si="115"/>
        <v>2.2977761340870311E-4</v>
      </c>
      <c r="W177" s="98" t="str">
        <f t="shared" si="106"/>
        <v>1-0.00182518391168036i</v>
      </c>
      <c r="X177" s="160">
        <f t="shared" si="116"/>
        <v>1.0000016656467685</v>
      </c>
      <c r="Y177" s="160">
        <f t="shared" si="117"/>
        <v>-1.8251818849416002E-3</v>
      </c>
      <c r="Z177" s="98" t="str">
        <f t="shared" si="107"/>
        <v>0.999996942686533+0.0035206058572125i</v>
      </c>
      <c r="AA177" s="160">
        <f t="shared" si="118"/>
        <v>1.0000031400190779</v>
      </c>
      <c r="AB177" s="160">
        <f t="shared" si="119"/>
        <v>3.5206020752384295E-3</v>
      </c>
      <c r="AC177" s="171" t="str">
        <f t="shared" si="120"/>
        <v>2.66644507997778-17.0989761913394i</v>
      </c>
      <c r="AD177" s="190">
        <f t="shared" si="121"/>
        <v>24.763749536203157</v>
      </c>
      <c r="AE177" s="169">
        <f t="shared" si="122"/>
        <v>-81.136579524576874</v>
      </c>
      <c r="AF177" s="98" t="str">
        <f t="shared" si="108"/>
        <v>-0.0000366300366300366</v>
      </c>
      <c r="AG177" s="98" t="str">
        <f t="shared" si="109"/>
        <v>0.000168666548981176i</v>
      </c>
      <c r="AH177" s="98">
        <f t="shared" si="123"/>
        <v>1.6866654898117599E-4</v>
      </c>
      <c r="AI177" s="98">
        <f t="shared" si="124"/>
        <v>1.5707963267948966</v>
      </c>
      <c r="AJ177" s="98" t="str">
        <f t="shared" si="110"/>
        <v>1+0.0240901603249737i</v>
      </c>
      <c r="AK177" s="98">
        <f t="shared" si="125"/>
        <v>1.0002901258257442</v>
      </c>
      <c r="AL177" s="98">
        <f t="shared" si="126"/>
        <v>2.4085501819280087E-2</v>
      </c>
      <c r="AM177" s="98" t="str">
        <f t="shared" si="111"/>
        <v>1+1.66222106242318i</v>
      </c>
      <c r="AN177" s="98">
        <f t="shared" si="127"/>
        <v>1.9398399058590492</v>
      </c>
      <c r="AO177" s="98">
        <f t="shared" si="128"/>
        <v>1.0291977369320988</v>
      </c>
      <c r="AP177" s="168" t="str">
        <f t="shared" si="129"/>
        <v>-0.355553561604379+0.22573962405197i</v>
      </c>
      <c r="AQ177" s="98">
        <f t="shared" si="130"/>
        <v>-7.5110339726365023</v>
      </c>
      <c r="AR177" s="169">
        <f t="shared" si="131"/>
        <v>147.58868900892546</v>
      </c>
      <c r="AS177" s="168" t="str">
        <f t="shared" si="132"/>
        <v>2.91185241209797+6.68152419452861i</v>
      </c>
      <c r="AT177" s="190">
        <f t="shared" si="133"/>
        <v>17.252715563566653</v>
      </c>
      <c r="AU177" s="169">
        <f t="shared" si="134"/>
        <v>66.452109484348568</v>
      </c>
      <c r="AV177" s="225"/>
      <c r="AX177">
        <f t="shared" si="135"/>
        <v>0</v>
      </c>
      <c r="AY177">
        <f t="shared" si="136"/>
        <v>0</v>
      </c>
    </row>
    <row r="178" spans="14:51" x14ac:dyDescent="0.3">
      <c r="N178" s="170">
        <v>60</v>
      </c>
      <c r="O178" s="199">
        <f t="shared" si="102"/>
        <v>398.10717055349761</v>
      </c>
      <c r="P178" s="189" t="str">
        <f t="shared" si="103"/>
        <v>108.75</v>
      </c>
      <c r="Q178" s="160" t="str">
        <f t="shared" si="104"/>
        <v>1+6.34850529450019i</v>
      </c>
      <c r="R178" s="160">
        <f t="shared" si="112"/>
        <v>6.4267814241887002</v>
      </c>
      <c r="S178" s="160">
        <f t="shared" si="113"/>
        <v>1.4145626369357187</v>
      </c>
      <c r="T178" s="160" t="str">
        <f t="shared" si="105"/>
        <v>1+0.00023512982572223i</v>
      </c>
      <c r="U178" s="160">
        <f t="shared" si="114"/>
        <v>1.000000027643017</v>
      </c>
      <c r="V178" s="160">
        <f t="shared" si="115"/>
        <v>2.3512982138909822E-4</v>
      </c>
      <c r="W178" s="98" t="str">
        <f t="shared" si="106"/>
        <v>1-0.00186769790644609i</v>
      </c>
      <c r="X178" s="160">
        <f t="shared" si="116"/>
        <v>1.0000017441462139</v>
      </c>
      <c r="Y178" s="160">
        <f t="shared" si="117"/>
        <v>-1.8676957347565867E-3</v>
      </c>
      <c r="Z178" s="98" t="str">
        <f t="shared" si="107"/>
        <v>0.999996798599788+0.00360261130226812i</v>
      </c>
      <c r="AA178" s="160">
        <f t="shared" si="118"/>
        <v>1.0000032880036047</v>
      </c>
      <c r="AB178" s="160">
        <f t="shared" si="119"/>
        <v>3.6026072498102808E-3</v>
      </c>
      <c r="AC178" s="171" t="str">
        <f t="shared" si="120"/>
        <v>2.54540060735933-16.7288108501461i</v>
      </c>
      <c r="AD178" s="190">
        <f t="shared" si="121"/>
        <v>24.568701548089635</v>
      </c>
      <c r="AE178" s="169">
        <f t="shared" si="122"/>
        <v>-81.348422280583506</v>
      </c>
      <c r="AF178" s="98" t="str">
        <f t="shared" si="108"/>
        <v>-0.0000366300366300366</v>
      </c>
      <c r="AG178" s="98" t="str">
        <f t="shared" si="109"/>
        <v>0.000172595297604616i</v>
      </c>
      <c r="AH178" s="98">
        <f t="shared" si="123"/>
        <v>1.72595297604616E-4</v>
      </c>
      <c r="AI178" s="98">
        <f t="shared" si="124"/>
        <v>1.5707963267948966</v>
      </c>
      <c r="AJ178" s="98" t="str">
        <f t="shared" si="110"/>
        <v>1+0.0246512922434654i</v>
      </c>
      <c r="AK178" s="98">
        <f t="shared" si="125"/>
        <v>1.0003037969583404</v>
      </c>
      <c r="AL178" s="98">
        <f t="shared" si="126"/>
        <v>2.4646300646554768E-2</v>
      </c>
      <c r="AM178" s="98" t="str">
        <f t="shared" si="111"/>
        <v>1+1.7009391647991i</v>
      </c>
      <c r="AN178" s="98">
        <f t="shared" si="127"/>
        <v>1.9731178480636831</v>
      </c>
      <c r="AO178" s="98">
        <f t="shared" si="128"/>
        <v>1.0393135910208744</v>
      </c>
      <c r="AP178" s="168" t="str">
        <f t="shared" si="129"/>
        <v>-0.355543842983525+0.220995406738028i</v>
      </c>
      <c r="AQ178" s="98">
        <f t="shared" si="130"/>
        <v>-7.5634099676904709</v>
      </c>
      <c r="AR178" s="169">
        <f t="shared" si="131"/>
        <v>148.1361533484237</v>
      </c>
      <c r="AS178" s="168" t="str">
        <f t="shared" si="132"/>
        <v>2.79198884419844+6.51034754074003i</v>
      </c>
      <c r="AT178" s="190">
        <f t="shared" si="133"/>
        <v>17.00529158039916</v>
      </c>
      <c r="AU178" s="169">
        <f t="shared" si="134"/>
        <v>66.787731067840184</v>
      </c>
      <c r="AV178" s="225"/>
      <c r="AX178">
        <f t="shared" si="135"/>
        <v>0</v>
      </c>
      <c r="AY178">
        <f t="shared" si="136"/>
        <v>0</v>
      </c>
    </row>
    <row r="179" spans="14:51" x14ac:dyDescent="0.3">
      <c r="N179" s="170">
        <v>61</v>
      </c>
      <c r="O179" s="199">
        <f t="shared" si="102"/>
        <v>407.38027780411272</v>
      </c>
      <c r="P179" s="189" t="str">
        <f t="shared" si="103"/>
        <v>108.75</v>
      </c>
      <c r="Q179" s="160" t="str">
        <f t="shared" si="104"/>
        <v>1+6.49638097931932i</v>
      </c>
      <c r="R179" s="160">
        <f t="shared" si="112"/>
        <v>6.5728963044050719</v>
      </c>
      <c r="S179" s="160">
        <f t="shared" si="113"/>
        <v>1.4180632760845944</v>
      </c>
      <c r="T179" s="160" t="str">
        <f t="shared" si="105"/>
        <v>1+0.000240606702937753i</v>
      </c>
      <c r="U179" s="160">
        <f t="shared" si="114"/>
        <v>1.0000000289457924</v>
      </c>
      <c r="V179" s="160">
        <f t="shared" si="115"/>
        <v>2.4060669829471863E-4</v>
      </c>
      <c r="W179" s="98" t="str">
        <f t="shared" si="106"/>
        <v>1-0.00191120217936372i</v>
      </c>
      <c r="X179" s="160">
        <f t="shared" si="116"/>
        <v>1.0000018263452175</v>
      </c>
      <c r="Y179" s="160">
        <f t="shared" si="117"/>
        <v>-1.9111998523567216E-3</v>
      </c>
      <c r="Z179" s="98" t="str">
        <f t="shared" si="107"/>
        <v>0.999996647722444+0.00368652689952241i</v>
      </c>
      <c r="AA179" s="160">
        <f t="shared" si="118"/>
        <v>1.0000034429624265</v>
      </c>
      <c r="AB179" s="160">
        <f t="shared" si="119"/>
        <v>3.6865225572360366E-3</v>
      </c>
      <c r="AC179" s="171" t="str">
        <f t="shared" si="120"/>
        <v>2.42954589293997-16.3658383493609i</v>
      </c>
      <c r="AD179" s="190">
        <f t="shared" si="121"/>
        <v>24.373435906230124</v>
      </c>
      <c r="AE179" s="169">
        <f t="shared" si="122"/>
        <v>-81.5559809227627</v>
      </c>
      <c r="AF179" s="98" t="str">
        <f t="shared" si="108"/>
        <v>-0.0000366300366300366</v>
      </c>
      <c r="AG179" s="98" t="str">
        <f t="shared" si="109"/>
        <v>0.000176615558539414i</v>
      </c>
      <c r="AH179" s="98">
        <f t="shared" si="123"/>
        <v>1.7661555853941399E-4</v>
      </c>
      <c r="AI179" s="98">
        <f t="shared" si="124"/>
        <v>1.5707963267948966</v>
      </c>
      <c r="AJ179" s="98" t="str">
        <f t="shared" si="110"/>
        <v>1+0.025225494603403i</v>
      </c>
      <c r="AK179" s="98">
        <f t="shared" si="125"/>
        <v>1.0003181121913101</v>
      </c>
      <c r="AL179" s="98">
        <f t="shared" si="126"/>
        <v>2.522014610280935E-2</v>
      </c>
      <c r="AM179" s="98" t="str">
        <f t="shared" si="111"/>
        <v>1+1.7405591276348i</v>
      </c>
      <c r="AN179" s="98">
        <f t="shared" si="127"/>
        <v>2.0073729291770417</v>
      </c>
      <c r="AO179" s="98">
        <f t="shared" si="128"/>
        <v>1.0493168201951886</v>
      </c>
      <c r="AP179" s="168" t="str">
        <f t="shared" si="129"/>
        <v>-0.355533666907612+0.216368341540546i</v>
      </c>
      <c r="AQ179" s="98">
        <f t="shared" si="130"/>
        <v>-7.6140335089259317</v>
      </c>
      <c r="AR179" s="169">
        <f t="shared" si="131"/>
        <v>148.67641723887795</v>
      </c>
      <c r="AS179" s="168" t="str">
        <f t="shared" si="132"/>
        <v>2.67726394133461+6.34428333591757i</v>
      </c>
      <c r="AT179" s="190">
        <f t="shared" si="133"/>
        <v>16.7594023973042</v>
      </c>
      <c r="AU179" s="169">
        <f t="shared" si="134"/>
        <v>67.12043631611526</v>
      </c>
      <c r="AV179" s="225"/>
      <c r="AX179">
        <f t="shared" si="135"/>
        <v>0</v>
      </c>
      <c r="AY179">
        <f t="shared" si="136"/>
        <v>0</v>
      </c>
    </row>
    <row r="180" spans="14:51" x14ac:dyDescent="0.3">
      <c r="N180" s="170">
        <v>62</v>
      </c>
      <c r="O180" s="199">
        <f t="shared" si="102"/>
        <v>416.86938347033572</v>
      </c>
      <c r="P180" s="189" t="str">
        <f t="shared" si="103"/>
        <v>108.75</v>
      </c>
      <c r="Q180" s="160" t="str">
        <f t="shared" si="104"/>
        <v>1+6.64770113132345i</v>
      </c>
      <c r="R180" s="160">
        <f t="shared" si="112"/>
        <v>6.7224943533928752</v>
      </c>
      <c r="S180" s="160">
        <f t="shared" si="113"/>
        <v>1.4214878803310895</v>
      </c>
      <c r="T180" s="160" t="str">
        <f t="shared" si="105"/>
        <v>1+0.000246211153011981i</v>
      </c>
      <c r="U180" s="160">
        <f t="shared" si="114"/>
        <v>1.0000000303099654</v>
      </c>
      <c r="V180" s="160">
        <f t="shared" si="115"/>
        <v>2.4621114803688004E-4</v>
      </c>
      <c r="W180" s="98" t="str">
        <f t="shared" si="106"/>
        <v>1-0.0019557197969746i</v>
      </c>
      <c r="X180" s="160">
        <f t="shared" si="116"/>
        <v>1.0000019124181334</v>
      </c>
      <c r="Y180" s="160">
        <f t="shared" si="117"/>
        <v>-1.9557173035419356E-3</v>
      </c>
      <c r="Z180" s="98" t="str">
        <f t="shared" si="107"/>
        <v>0.99999648973447+0.00377239714213579i</v>
      </c>
      <c r="AA180" s="160">
        <f t="shared" si="118"/>
        <v>1.0000036052242312</v>
      </c>
      <c r="AB180" s="160">
        <f t="shared" si="119"/>
        <v>3.7723924892926002E-3</v>
      </c>
      <c r="AC180" s="171" t="str">
        <f t="shared" si="120"/>
        <v>2.31866930124165-16.0099730376851i</v>
      </c>
      <c r="AD180" s="190">
        <f t="shared" si="121"/>
        <v>24.177961950181285</v>
      </c>
      <c r="AE180" s="169">
        <f t="shared" si="122"/>
        <v>-81.759345828034199</v>
      </c>
      <c r="AF180" s="98" t="str">
        <f t="shared" si="108"/>
        <v>-0.0000366300366300366</v>
      </c>
      <c r="AG180" s="98" t="str">
        <f t="shared" si="109"/>
        <v>0.000180729463381134i</v>
      </c>
      <c r="AH180" s="98">
        <f t="shared" si="123"/>
        <v>1.80729463381134E-4</v>
      </c>
      <c r="AI180" s="98">
        <f t="shared" si="124"/>
        <v>1.5707963267948966</v>
      </c>
      <c r="AJ180" s="98" t="str">
        <f t="shared" si="110"/>
        <v>1+0.0258130718544784i</v>
      </c>
      <c r="AK180" s="98">
        <f t="shared" si="125"/>
        <v>1.0003331018608574</v>
      </c>
      <c r="AL180" s="98">
        <f t="shared" si="126"/>
        <v>2.5807340935902597E-2</v>
      </c>
      <c r="AM180" s="98" t="str">
        <f t="shared" si="111"/>
        <v>1+1.781101957959i</v>
      </c>
      <c r="AN180" s="98">
        <f t="shared" si="127"/>
        <v>2.0426267854518563</v>
      </c>
      <c r="AO180" s="98">
        <f t="shared" si="128"/>
        <v>1.059204719954465</v>
      </c>
      <c r="AP180" s="168" t="str">
        <f t="shared" si="129"/>
        <v>-0.355523011872323+0.211855973515952i</v>
      </c>
      <c r="AQ180" s="98">
        <f t="shared" si="130"/>
        <v>-7.6629444746301569</v>
      </c>
      <c r="AR180" s="169">
        <f t="shared" si="131"/>
        <v>149.20930837764462</v>
      </c>
      <c r="AS180" s="168" t="str">
        <f t="shared" si="132"/>
        <v>2.56746813034959+6.18313777642859i</v>
      </c>
      <c r="AT180" s="190">
        <f t="shared" si="133"/>
        <v>16.515017475551122</v>
      </c>
      <c r="AU180" s="169">
        <f t="shared" si="134"/>
        <v>67.449962549610461</v>
      </c>
      <c r="AV180" s="225"/>
      <c r="AX180">
        <f t="shared" si="135"/>
        <v>0</v>
      </c>
      <c r="AY180">
        <f t="shared" si="136"/>
        <v>0</v>
      </c>
    </row>
    <row r="181" spans="14:51" x14ac:dyDescent="0.3">
      <c r="N181" s="170">
        <v>63</v>
      </c>
      <c r="O181" s="199">
        <f t="shared" si="102"/>
        <v>426.57951880159294</v>
      </c>
      <c r="P181" s="189" t="str">
        <f t="shared" si="103"/>
        <v>108.75</v>
      </c>
      <c r="Q181" s="160" t="str">
        <f t="shared" si="104"/>
        <v>1+6.80254598246013i</v>
      </c>
      <c r="R181" s="160">
        <f t="shared" si="112"/>
        <v>6.8756550119595481</v>
      </c>
      <c r="S181" s="160">
        <f t="shared" si="113"/>
        <v>1.4248379439722521</v>
      </c>
      <c r="T181" s="160" t="str">
        <f t="shared" si="105"/>
        <v>1+0.000251946147498524i</v>
      </c>
      <c r="U181" s="160">
        <f t="shared" si="114"/>
        <v>1.0000000317384301</v>
      </c>
      <c r="V181" s="160">
        <f t="shared" si="115"/>
        <v>2.5194614216760729E-4</v>
      </c>
      <c r="W181" s="98" t="str">
        <f t="shared" si="106"/>
        <v>1-0.00200127436310885i</v>
      </c>
      <c r="X181" s="160">
        <f t="shared" si="116"/>
        <v>1.0000020025475331</v>
      </c>
      <c r="Y181" s="160">
        <f t="shared" si="117"/>
        <v>-2.0012716913479028E-3</v>
      </c>
      <c r="Z181" s="98" t="str">
        <f t="shared" si="107"/>
        <v>0.999996324300753+0.00386026755964749i</v>
      </c>
      <c r="AA181" s="160">
        <f t="shared" si="118"/>
        <v>1.0000037751331985</v>
      </c>
      <c r="AB181" s="160">
        <f t="shared" si="119"/>
        <v>3.8602625740367319E-3</v>
      </c>
      <c r="AC181" s="171" t="str">
        <f t="shared" si="120"/>
        <v>2.21256688801642-15.6611264420061i</v>
      </c>
      <c r="AD181" s="190">
        <f t="shared" si="121"/>
        <v>23.982288637640114</v>
      </c>
      <c r="AE181" s="169">
        <f t="shared" si="122"/>
        <v>-81.958606403974755</v>
      </c>
      <c r="AF181" s="98" t="str">
        <f t="shared" si="108"/>
        <v>-0.0000366300366300366</v>
      </c>
      <c r="AG181" s="98" t="str">
        <f t="shared" si="109"/>
        <v>0.000184939193376576i</v>
      </c>
      <c r="AH181" s="98">
        <f t="shared" si="123"/>
        <v>1.84939193376576E-4</v>
      </c>
      <c r="AI181" s="98">
        <f t="shared" si="124"/>
        <v>1.5707963267948966</v>
      </c>
      <c r="AJ181" s="98" t="str">
        <f t="shared" si="110"/>
        <v>1+0.0264143355379273i</v>
      </c>
      <c r="AK181" s="98">
        <f t="shared" si="125"/>
        <v>1.0003487977310266</v>
      </c>
      <c r="AL181" s="98">
        <f t="shared" si="126"/>
        <v>2.6408194863671634E-2</v>
      </c>
      <c r="AM181" s="98" t="str">
        <f t="shared" si="111"/>
        <v>1+1.82258915211698i</v>
      </c>
      <c r="AN181" s="98">
        <f t="shared" si="127"/>
        <v>2.0789014448536256</v>
      </c>
      <c r="AO181" s="98">
        <f t="shared" si="128"/>
        <v>1.0689747983689328</v>
      </c>
      <c r="AP181" s="168" t="str">
        <f t="shared" si="129"/>
        <v>-0.355511855365171+0.207455908419572i</v>
      </c>
      <c r="AQ181" s="98">
        <f t="shared" si="130"/>
        <v>-7.7101831914423302</v>
      </c>
      <c r="AR181" s="169">
        <f t="shared" si="131"/>
        <v>149.73466624214052</v>
      </c>
      <c r="AS181" s="168" t="str">
        <f t="shared" si="132"/>
        <v>2.4623994534219+6.02672619219864i</v>
      </c>
      <c r="AT181" s="190">
        <f t="shared" si="133"/>
        <v>16.272105446197788</v>
      </c>
      <c r="AU181" s="169">
        <f t="shared" si="134"/>
        <v>67.776059838165722</v>
      </c>
      <c r="AV181" s="225"/>
      <c r="AX181">
        <f t="shared" si="135"/>
        <v>0</v>
      </c>
      <c r="AY181">
        <f t="shared" si="136"/>
        <v>0</v>
      </c>
    </row>
    <row r="182" spans="14:51" x14ac:dyDescent="0.3">
      <c r="N182" s="170">
        <v>64</v>
      </c>
      <c r="O182" s="199">
        <f t="shared" si="102"/>
        <v>436.51583224016622</v>
      </c>
      <c r="P182" s="189" t="str">
        <f t="shared" si="103"/>
        <v>108.75</v>
      </c>
      <c r="Q182" s="160" t="str">
        <f t="shared" si="104"/>
        <v>1+6.96099763351904i</v>
      </c>
      <c r="R182" s="160">
        <f t="shared" si="112"/>
        <v>7.032459602006802</v>
      </c>
      <c r="S182" s="160">
        <f t="shared" si="113"/>
        <v>1.4281149423201205</v>
      </c>
      <c r="T182" s="160" t="str">
        <f t="shared" si="105"/>
        <v>1+0.000257814727167373i</v>
      </c>
      <c r="U182" s="160">
        <f t="shared" si="114"/>
        <v>1.0000000332342163</v>
      </c>
      <c r="V182" s="160">
        <f t="shared" si="115"/>
        <v>2.5781472145519288E-4</v>
      </c>
      <c r="W182" s="98" t="str">
        <f t="shared" si="106"/>
        <v>1-0.00204789003140041i</v>
      </c>
      <c r="X182" s="160">
        <f t="shared" si="116"/>
        <v>1.0000020969245917</v>
      </c>
      <c r="Y182" s="160">
        <f t="shared" si="117"/>
        <v>-2.0478871685573005E-3</v>
      </c>
      <c r="Z182" s="98" t="str">
        <f t="shared" si="107"/>
        <v>0.999996151070384+0.003950184742116i</v>
      </c>
      <c r="AA182" s="160">
        <f t="shared" si="118"/>
        <v>1.0000039530497262</v>
      </c>
      <c r="AB182" s="160">
        <f t="shared" si="119"/>
        <v>3.9501793999384407E-3</v>
      </c>
      <c r="AC182" s="171" t="str">
        <f t="shared" si="120"/>
        <v>2.11104220344284-15.3192076046254i</v>
      </c>
      <c r="AD182" s="190">
        <f t="shared" si="121"/>
        <v>23.786424558393719</v>
      </c>
      <c r="AE182" s="169">
        <f t="shared" si="122"/>
        <v>-82.153851058689526</v>
      </c>
      <c r="AF182" s="98" t="str">
        <f t="shared" si="108"/>
        <v>-0.0000366300366300366</v>
      </c>
      <c r="AG182" s="98" t="str">
        <f t="shared" si="109"/>
        <v>0.000189246980580305i</v>
      </c>
      <c r="AH182" s="98">
        <f t="shared" si="123"/>
        <v>1.8924698058030501E-4</v>
      </c>
      <c r="AI182" s="98">
        <f t="shared" si="124"/>
        <v>1.5707963267948966</v>
      </c>
      <c r="AJ182" s="98" t="str">
        <f t="shared" si="110"/>
        <v>1+0.0270296044517134i</v>
      </c>
      <c r="AK182" s="98">
        <f t="shared" si="125"/>
        <v>1.0003652330608137</v>
      </c>
      <c r="AL182" s="98">
        <f t="shared" si="126"/>
        <v>2.7023024730439989E-2</v>
      </c>
      <c r="AM182" s="98" t="str">
        <f t="shared" si="111"/>
        <v>1+1.86504270716822i</v>
      </c>
      <c r="AN182" s="98">
        <f t="shared" si="127"/>
        <v>2.1162193410800691</v>
      </c>
      <c r="AO182" s="98">
        <f t="shared" si="128"/>
        <v>1.0786247741611492</v>
      </c>
      <c r="AP182" s="168" t="str">
        <f t="shared" si="129"/>
        <v>-0.355500173818481+0.203165811427975i</v>
      </c>
      <c r="AQ182" s="98">
        <f t="shared" si="130"/>
        <v>-7.7557903319577601</v>
      </c>
      <c r="AR182" s="169">
        <f t="shared" si="131"/>
        <v>150.25234197095352</v>
      </c>
      <c r="AS182" s="168" t="str">
        <f t="shared" si="132"/>
        <v>2.36186337316525+5.87487256842689i</v>
      </c>
      <c r="AT182" s="190">
        <f t="shared" si="133"/>
        <v>16.030634226435957</v>
      </c>
      <c r="AU182" s="169">
        <f t="shared" si="134"/>
        <v>68.098490912263969</v>
      </c>
      <c r="AV182" s="225"/>
      <c r="AX182">
        <f t="shared" si="135"/>
        <v>0</v>
      </c>
      <c r="AY182">
        <f t="shared" si="136"/>
        <v>0</v>
      </c>
    </row>
    <row r="183" spans="14:51" x14ac:dyDescent="0.3">
      <c r="N183" s="170">
        <v>65</v>
      </c>
      <c r="O183" s="199">
        <f t="shared" si="102"/>
        <v>446.68359215096331</v>
      </c>
      <c r="P183" s="189" t="str">
        <f t="shared" si="103"/>
        <v>108.75</v>
      </c>
      <c r="Q183" s="160" t="str">
        <f t="shared" si="104"/>
        <v>1+7.12314009766294i</v>
      </c>
      <c r="R183" s="160">
        <f t="shared" si="112"/>
        <v>7.1929913701417441</v>
      </c>
      <c r="S183" s="160">
        <f t="shared" si="113"/>
        <v>1.4313203312098937</v>
      </c>
      <c r="T183" s="160" t="str">
        <f t="shared" si="105"/>
        <v>1+0.000263820003617147i</v>
      </c>
      <c r="U183" s="160">
        <f t="shared" si="114"/>
        <v>1.0000000348004965</v>
      </c>
      <c r="V183" s="160">
        <f t="shared" si="115"/>
        <v>2.6381999749643575E-4</v>
      </c>
      <c r="W183" s="98" t="str">
        <f t="shared" si="106"/>
        <v>1-0.00209559151809365i</v>
      </c>
      <c r="X183" s="160">
        <f t="shared" si="116"/>
        <v>1.0000021957494947</v>
      </c>
      <c r="Y183" s="160">
        <f t="shared" si="117"/>
        <v>-2.0955884505023535E-3</v>
      </c>
      <c r="Z183" s="98" t="str">
        <f t="shared" si="107"/>
        <v>0.99999596967592+0.00404219636482166i</v>
      </c>
      <c r="AA183" s="160">
        <f t="shared" si="118"/>
        <v>1.0000041393512005</v>
      </c>
      <c r="AB183" s="160">
        <f t="shared" si="119"/>
        <v>4.0421906405759605E-3</v>
      </c>
      <c r="AC183" s="171" t="str">
        <f t="shared" si="120"/>
        <v>2.0139060925108-14.9841233991864i</v>
      </c>
      <c r="AD183" s="190">
        <f t="shared" si="121"/>
        <v>23.590377947905186</v>
      </c>
      <c r="AE183" s="169">
        <f t="shared" si="122"/>
        <v>-82.345167174688783</v>
      </c>
      <c r="AF183" s="98" t="str">
        <f t="shared" si="108"/>
        <v>-0.0000366300366300366</v>
      </c>
      <c r="AG183" s="98" t="str">
        <f t="shared" si="109"/>
        <v>0.000193655109038118i</v>
      </c>
      <c r="AH183" s="98">
        <f t="shared" si="123"/>
        <v>1.9365510903811799E-4</v>
      </c>
      <c r="AI183" s="98">
        <f t="shared" si="124"/>
        <v>1.5707963267948966</v>
      </c>
      <c r="AJ183" s="98" t="str">
        <f t="shared" si="110"/>
        <v>1+0.027659204819559i</v>
      </c>
      <c r="AK183" s="98">
        <f t="shared" si="125"/>
        <v>1.0003824426744257</v>
      </c>
      <c r="AL183" s="98">
        <f t="shared" si="126"/>
        <v>2.7652154666753685E-2</v>
      </c>
      <c r="AM183" s="98" t="str">
        <f t="shared" si="111"/>
        <v>1+1.90848513254957i</v>
      </c>
      <c r="AN183" s="98">
        <f t="shared" si="127"/>
        <v>2.1546033280311132</v>
      </c>
      <c r="AO183" s="98">
        <f t="shared" si="128"/>
        <v>1.0881525740916349</v>
      </c>
      <c r="AP183" s="168" t="str">
        <f t="shared" si="129"/>
        <v>-0.355487942560225+0.19898340589223i</v>
      </c>
      <c r="AQ183" s="98">
        <f t="shared" si="130"/>
        <v>-7.7998068159838123</v>
      </c>
      <c r="AR183" s="169">
        <f t="shared" si="131"/>
        <v>150.76219820489936</v>
      </c>
      <c r="AS183" s="168" t="str">
        <f t="shared" si="132"/>
        <v>2.2656725749434+5.72740909168021i</v>
      </c>
      <c r="AT183" s="190">
        <f t="shared" si="133"/>
        <v>15.790571131921372</v>
      </c>
      <c r="AU183" s="169">
        <f t="shared" si="134"/>
        <v>68.417031030210609</v>
      </c>
      <c r="AV183" s="225"/>
      <c r="AX183">
        <f t="shared" si="135"/>
        <v>0</v>
      </c>
      <c r="AY183">
        <f t="shared" si="136"/>
        <v>0</v>
      </c>
    </row>
    <row r="184" spans="14:51" x14ac:dyDescent="0.3">
      <c r="N184" s="170">
        <v>66</v>
      </c>
      <c r="O184" s="199">
        <f t="shared" ref="O184:O218" si="137">10^(2+(N184/100))</f>
        <v>457.0881896148756</v>
      </c>
      <c r="P184" s="189" t="str">
        <f t="shared" si="103"/>
        <v>108.75</v>
      </c>
      <c r="Q184" s="160" t="str">
        <f t="shared" si="104"/>
        <v>1+7.28905934497254i</v>
      </c>
      <c r="R184" s="160">
        <f t="shared" si="112"/>
        <v>7.3573355322787553</v>
      </c>
      <c r="S184" s="160">
        <f t="shared" si="113"/>
        <v>1.4344555465727671</v>
      </c>
      <c r="T184" s="160" t="str">
        <f t="shared" si="105"/>
        <v>1+0.00026996516092491i</v>
      </c>
      <c r="U184" s="160">
        <f t="shared" si="114"/>
        <v>1.0000000364405934</v>
      </c>
      <c r="V184" s="160">
        <f t="shared" si="115"/>
        <v>2.6996515436644974E-4</v>
      </c>
      <c r="W184" s="98" t="str">
        <f t="shared" si="106"/>
        <v>1-0.00214440411514822i</v>
      </c>
      <c r="X184" s="160">
        <f t="shared" si="116"/>
        <v>1.0000022992318613</v>
      </c>
      <c r="Y184" s="160">
        <f t="shared" si="117"/>
        <v>-2.1444008281653335E-3</v>
      </c>
      <c r="Z184" s="98" t="str">
        <f t="shared" si="107"/>
        <v>0.999995779732598+0.00413635121354474i</v>
      </c>
      <c r="AA184" s="160">
        <f t="shared" si="118"/>
        <v>1.0000043344327905</v>
      </c>
      <c r="AB184" s="160">
        <f t="shared" si="119"/>
        <v>4.136345079905737E-3</v>
      </c>
      <c r="AC184" s="171" t="str">
        <f t="shared" si="120"/>
        <v>1.92097649357044-14.6557788262426i</v>
      </c>
      <c r="AD184" s="190">
        <f t="shared" si="121"/>
        <v>23.394156700529763</v>
      </c>
      <c r="AE184" s="169">
        <f t="shared" si="122"/>
        <v>-82.532641086517032</v>
      </c>
      <c r="AF184" s="98" t="str">
        <f t="shared" si="108"/>
        <v>-0.0000366300366300366</v>
      </c>
      <c r="AG184" s="98" t="str">
        <f t="shared" si="109"/>
        <v>0.000198165915998072i</v>
      </c>
      <c r="AH184" s="98">
        <f t="shared" si="123"/>
        <v>1.98165915998072E-4</v>
      </c>
      <c r="AI184" s="98">
        <f t="shared" si="124"/>
        <v>1.5707963267948966</v>
      </c>
      <c r="AJ184" s="98" t="str">
        <f t="shared" si="110"/>
        <v>1+0.0283034704639128i</v>
      </c>
      <c r="AK184" s="98">
        <f t="shared" si="125"/>
        <v>1.0004004630348298</v>
      </c>
      <c r="AL184" s="98">
        <f t="shared" si="126"/>
        <v>2.8295916252392327E-2</v>
      </c>
      <c r="AM184" s="98" t="str">
        <f t="shared" si="111"/>
        <v>1+1.95293946200998i</v>
      </c>
      <c r="AN184" s="98">
        <f t="shared" si="127"/>
        <v>2.1940766947114292</v>
      </c>
      <c r="AO184" s="98">
        <f t="shared" si="128"/>
        <v>1.097556329701769</v>
      </c>
      <c r="AP184" s="168" t="str">
        <f t="shared" si="129"/>
        <v>-0.355475135762577+0.1949064721214i</v>
      </c>
      <c r="AQ184" s="98">
        <f t="shared" si="130"/>
        <v>-7.8422737157885152</v>
      </c>
      <c r="AR184" s="169">
        <f t="shared" si="131"/>
        <v>151.26410889106273</v>
      </c>
      <c r="AS184" s="168" t="str">
        <f t="shared" si="132"/>
        <v>2.17364676736579+5.58417571935484i</v>
      </c>
      <c r="AT184" s="190">
        <f t="shared" si="133"/>
        <v>15.551882984741248</v>
      </c>
      <c r="AU184" s="169">
        <f t="shared" si="134"/>
        <v>68.731467804545673</v>
      </c>
      <c r="AV184" s="225"/>
      <c r="AX184">
        <f t="shared" si="135"/>
        <v>0</v>
      </c>
      <c r="AY184">
        <f t="shared" si="136"/>
        <v>0</v>
      </c>
    </row>
    <row r="185" spans="14:51" x14ac:dyDescent="0.3">
      <c r="N185" s="170">
        <v>67</v>
      </c>
      <c r="O185" s="199">
        <f t="shared" si="137"/>
        <v>467.7351412871983</v>
      </c>
      <c r="P185" s="189" t="str">
        <f t="shared" si="103"/>
        <v>108.75</v>
      </c>
      <c r="Q185" s="160" t="str">
        <f t="shared" si="104"/>
        <v>1+7.45884334802894i</v>
      </c>
      <c r="R185" s="160">
        <f t="shared" si="112"/>
        <v>7.5255793192574592</v>
      </c>
      <c r="S185" s="160">
        <f t="shared" si="113"/>
        <v>1.4375220040692276</v>
      </c>
      <c r="T185" s="160" t="str">
        <f t="shared" si="105"/>
        <v>1+0.000276253457334406i</v>
      </c>
      <c r="U185" s="160">
        <f t="shared" si="114"/>
        <v>1.0000000381579857</v>
      </c>
      <c r="V185" s="160">
        <f t="shared" si="115"/>
        <v>2.7625345030688917E-4</v>
      </c>
      <c r="W185" s="98" t="str">
        <f t="shared" si="106"/>
        <v>1-0.00219435370364918i</v>
      </c>
      <c r="X185" s="160">
        <f t="shared" si="116"/>
        <v>1.00000240759119</v>
      </c>
      <c r="Y185" s="160">
        <f t="shared" si="117"/>
        <v>-2.1943501815840194E-3</v>
      </c>
      <c r="Z185" s="98" t="str">
        <f t="shared" si="107"/>
        <v>0.999995580837523+0.00423269921043233i</v>
      </c>
      <c r="AA185" s="160">
        <f t="shared" si="118"/>
        <v>1.0000045387082905</v>
      </c>
      <c r="AB185" s="160">
        <f t="shared" si="119"/>
        <v>4.2326926381205934E-3</v>
      </c>
      <c r="AC185" s="171" t="str">
        <f t="shared" si="120"/>
        <v>1.83207823592327-14.3340772894028i</v>
      </c>
      <c r="AD185" s="190">
        <f t="shared" si="121"/>
        <v>23.197768382360245</v>
      </c>
      <c r="AE185" s="169">
        <f t="shared" si="122"/>
        <v>-82.716358061895122</v>
      </c>
      <c r="AF185" s="98" t="str">
        <f t="shared" si="108"/>
        <v>-0.0000366300366300366</v>
      </c>
      <c r="AG185" s="98" t="str">
        <f t="shared" si="109"/>
        <v>0.000202781793149723i</v>
      </c>
      <c r="AH185" s="98">
        <f t="shared" si="123"/>
        <v>2.0278179314972301E-4</v>
      </c>
      <c r="AI185" s="98">
        <f t="shared" si="124"/>
        <v>1.5707963267948966</v>
      </c>
      <c r="AJ185" s="98" t="str">
        <f t="shared" si="110"/>
        <v>1+0.0289627429829472i</v>
      </c>
      <c r="AK185" s="98">
        <f t="shared" si="125"/>
        <v>1.0004193323207504</v>
      </c>
      <c r="AL185" s="98">
        <f t="shared" si="126"/>
        <v>2.8954648682700278E-2</v>
      </c>
      <c r="AM185" s="98" t="str">
        <f t="shared" si="111"/>
        <v>1+1.99842926582335i</v>
      </c>
      <c r="AN185" s="98">
        <f t="shared" si="127"/>
        <v>2.2346631805485258</v>
      </c>
      <c r="AO185" s="98">
        <f t="shared" si="128"/>
        <v>1.1068343734685575</v>
      </c>
      <c r="AP185" s="168" t="str">
        <f t="shared" si="129"/>
        <v>-0.355461726388125+0.190932846195555i</v>
      </c>
      <c r="AQ185" s="98">
        <f t="shared" si="130"/>
        <v>-7.8832321656295097</v>
      </c>
      <c r="AR185" s="169">
        <f t="shared" si="131"/>
        <v>151.75795905295232</v>
      </c>
      <c r="AS185" s="168" t="str">
        <f t="shared" si="132"/>
        <v>2.08561248183335+5.4450197715097i</v>
      </c>
      <c r="AT185" s="190">
        <f t="shared" si="133"/>
        <v>15.314536216730744</v>
      </c>
      <c r="AU185" s="169">
        <f t="shared" si="134"/>
        <v>69.041600991057166</v>
      </c>
      <c r="AV185" s="225"/>
      <c r="AX185">
        <f t="shared" si="135"/>
        <v>0</v>
      </c>
      <c r="AY185">
        <f t="shared" si="136"/>
        <v>0</v>
      </c>
    </row>
    <row r="186" spans="14:51" x14ac:dyDescent="0.3">
      <c r="N186" s="170">
        <v>68</v>
      </c>
      <c r="O186" s="199">
        <f t="shared" si="137"/>
        <v>478.63009232263886</v>
      </c>
      <c r="P186" s="189" t="str">
        <f t="shared" si="103"/>
        <v>108.75</v>
      </c>
      <c r="Q186" s="160" t="str">
        <f t="shared" si="104"/>
        <v>1+7.63258212855793i</v>
      </c>
      <c r="R186" s="160">
        <f t="shared" si="112"/>
        <v>7.6978120235026459</v>
      </c>
      <c r="S186" s="160">
        <f t="shared" si="113"/>
        <v>1.4405210987787986</v>
      </c>
      <c r="T186" s="160" t="str">
        <f t="shared" si="105"/>
        <v>1+0.000282688226983628i</v>
      </c>
      <c r="U186" s="160">
        <f t="shared" si="114"/>
        <v>1.000000039956316</v>
      </c>
      <c r="V186" s="160">
        <f t="shared" si="115"/>
        <v>2.8268821945350811E-4</v>
      </c>
      <c r="W186" s="98" t="str">
        <f t="shared" si="106"/>
        <v>1-0.00224546676752953i</v>
      </c>
      <c r="X186" s="160">
        <f t="shared" si="116"/>
        <v>1.0000025210573242</v>
      </c>
      <c r="Y186" s="160">
        <f t="shared" si="117"/>
        <v>-2.2454629935692301E-3</v>
      </c>
      <c r="Z186" s="98" t="str">
        <f t="shared" si="107"/>
        <v>0.999995372568811+0.00433129144046768i</v>
      </c>
      <c r="AA186" s="160">
        <f t="shared" si="118"/>
        <v>1.0000047526109952</v>
      </c>
      <c r="AB186" s="160">
        <f t="shared" si="119"/>
        <v>4.3312843981097504E-3</v>
      </c>
      <c r="AC186" s="171" t="str">
        <f t="shared" si="120"/>
        <v>1.74704283724238-14.0189208529719i</v>
      </c>
      <c r="AD186" s="190">
        <f t="shared" si="121"/>
        <v>23.001220243700075</v>
      </c>
      <c r="AE186" s="169">
        <f t="shared" si="122"/>
        <v>-82.896402286147278</v>
      </c>
      <c r="AF186" s="98" t="str">
        <f t="shared" si="108"/>
        <v>-0.0000366300366300366</v>
      </c>
      <c r="AG186" s="98" t="str">
        <f t="shared" si="109"/>
        <v>0.000207505187892237i</v>
      </c>
      <c r="AH186" s="98">
        <f t="shared" si="123"/>
        <v>2.0750518789223701E-4</v>
      </c>
      <c r="AI186" s="98">
        <f t="shared" si="124"/>
        <v>1.5707963267948966</v>
      </c>
      <c r="AJ186" s="98" t="str">
        <f t="shared" si="110"/>
        <v>1+0.0296373719316785i</v>
      </c>
      <c r="AK186" s="98">
        <f t="shared" si="125"/>
        <v>1.0004390905072715</v>
      </c>
      <c r="AL186" s="98">
        <f t="shared" si="126"/>
        <v>2.9628698938281135E-2</v>
      </c>
      <c r="AM186" s="98" t="str">
        <f t="shared" si="111"/>
        <v>1+2.04497866328581i</v>
      </c>
      <c r="AN186" s="98">
        <f t="shared" si="127"/>
        <v>2.2763869911098635</v>
      </c>
      <c r="AO186" s="98">
        <f t="shared" si="128"/>
        <v>1.1159852344265335</v>
      </c>
      <c r="AP186" s="168" t="str">
        <f t="shared" si="129"/>
        <v>-0.355447686133593+0.187060418807645i</v>
      </c>
      <c r="AQ186" s="98">
        <f t="shared" si="130"/>
        <v>-7.922723275800605</v>
      </c>
      <c r="AR186" s="169">
        <f t="shared" si="131"/>
        <v>152.24364452993098</v>
      </c>
      <c r="AS186" s="168" t="str">
        <f t="shared" si="132"/>
        <v>2.00140287191408+5.30979554408829i</v>
      </c>
      <c r="AT186" s="190">
        <f t="shared" si="133"/>
        <v>15.078496967899465</v>
      </c>
      <c r="AU186" s="169">
        <f t="shared" si="134"/>
        <v>69.347242243783697</v>
      </c>
      <c r="AV186" s="225"/>
      <c r="AX186">
        <f t="shared" si="135"/>
        <v>0</v>
      </c>
      <c r="AY186">
        <f t="shared" si="136"/>
        <v>0</v>
      </c>
    </row>
    <row r="187" spans="14:51" x14ac:dyDescent="0.3">
      <c r="N187" s="170">
        <v>69</v>
      </c>
      <c r="O187" s="199">
        <f t="shared" si="137"/>
        <v>489.77881936844625</v>
      </c>
      <c r="P187" s="189" t="str">
        <f t="shared" si="103"/>
        <v>108.75</v>
      </c>
      <c r="Q187" s="160" t="str">
        <f t="shared" si="104"/>
        <v>1+7.81036780516066i</v>
      </c>
      <c r="R187" s="160">
        <f t="shared" si="112"/>
        <v>7.8741250467521882</v>
      </c>
      <c r="S187" s="160">
        <f t="shared" si="113"/>
        <v>1.4434542049424106</v>
      </c>
      <c r="T187" s="160" t="str">
        <f t="shared" si="105"/>
        <v>1+0.000289272881672618i</v>
      </c>
      <c r="U187" s="160">
        <f t="shared" si="114"/>
        <v>1.0000000418393993</v>
      </c>
      <c r="V187" s="160">
        <f t="shared" si="115"/>
        <v>2.892728736039492E-4</v>
      </c>
      <c r="W187" s="98" t="str">
        <f t="shared" si="106"/>
        <v>1-0.00229777040761229i</v>
      </c>
      <c r="X187" s="160">
        <f t="shared" si="116"/>
        <v>1.0000026398709385</v>
      </c>
      <c r="Y187" s="160">
        <f t="shared" si="117"/>
        <v>-2.2977663637415479E-3</v>
      </c>
      <c r="Z187" s="98" t="str">
        <f t="shared" si="107"/>
        <v>0.999995154484698+0.0044321801785562i</v>
      </c>
      <c r="AA187" s="160">
        <f t="shared" si="118"/>
        <v>1.000004976594622</v>
      </c>
      <c r="AB187" s="160">
        <f t="shared" si="119"/>
        <v>4.4321726325348152E-3</v>
      </c>
      <c r="AC187" s="171" t="str">
        <f t="shared" si="120"/>
        <v>1.66570830152436-13.7102104819878i</v>
      </c>
      <c r="AD187" s="190">
        <f t="shared" si="121"/>
        <v>22.804519231163617</v>
      </c>
      <c r="AE187" s="169">
        <f t="shared" si="122"/>
        <v>-83.07285684969392</v>
      </c>
      <c r="AF187" s="98" t="str">
        <f t="shared" si="108"/>
        <v>-0.0000366300366300366</v>
      </c>
      <c r="AG187" s="98" t="str">
        <f t="shared" si="109"/>
        <v>0.000212338604632027i</v>
      </c>
      <c r="AH187" s="98">
        <f t="shared" si="123"/>
        <v>2.1233860463202699E-4</v>
      </c>
      <c r="AI187" s="98">
        <f t="shared" si="124"/>
        <v>1.5707963267948966</v>
      </c>
      <c r="AJ187" s="98" t="str">
        <f t="shared" si="110"/>
        <v>1+0.030327715007305i</v>
      </c>
      <c r="AK187" s="98">
        <f t="shared" si="125"/>
        <v>1.0004597794502108</v>
      </c>
      <c r="AL187" s="98">
        <f t="shared" si="126"/>
        <v>3.0318421958096305E-2</v>
      </c>
      <c r="AM187" s="98" t="str">
        <f t="shared" si="111"/>
        <v>1+2.09261233550404i</v>
      </c>
      <c r="AN187" s="98">
        <f t="shared" si="127"/>
        <v>2.3192728142035541</v>
      </c>
      <c r="AO187" s="98">
        <f t="shared" si="128"/>
        <v>1.1250076333121961</v>
      </c>
      <c r="AP187" s="168" t="str">
        <f t="shared" si="129"/>
        <v>-0.355432985370984+0.18328713413357i</v>
      </c>
      <c r="AQ187" s="98">
        <f t="shared" si="130"/>
        <v>-7.9607880513825888</v>
      </c>
      <c r="AR187" s="169">
        <f t="shared" si="131"/>
        <v>152.72107168909452</v>
      </c>
      <c r="AS187" s="168" t="str">
        <f t="shared" si="132"/>
        <v>1.92085751324354+5.17836394256638i</v>
      </c>
      <c r="AT187" s="190">
        <f t="shared" si="133"/>
        <v>14.843731179781033</v>
      </c>
      <c r="AU187" s="169">
        <f t="shared" si="134"/>
        <v>69.648214839400595</v>
      </c>
      <c r="AV187" s="225"/>
      <c r="AX187">
        <f t="shared" si="135"/>
        <v>0</v>
      </c>
      <c r="AY187">
        <f t="shared" si="136"/>
        <v>0</v>
      </c>
    </row>
    <row r="188" spans="14:51" x14ac:dyDescent="0.3">
      <c r="N188" s="170">
        <v>70</v>
      </c>
      <c r="O188" s="199">
        <f t="shared" si="137"/>
        <v>501.18723362727269</v>
      </c>
      <c r="P188" s="189" t="str">
        <f t="shared" si="103"/>
        <v>108.75</v>
      </c>
      <c r="Q188" s="160" t="str">
        <f t="shared" si="104"/>
        <v>1+7.99229464215611i</v>
      </c>
      <c r="R188" s="160">
        <f t="shared" si="112"/>
        <v>8.0546119488797991</v>
      </c>
      <c r="S188" s="160">
        <f t="shared" si="113"/>
        <v>1.4463226757537702</v>
      </c>
      <c r="T188" s="160" t="str">
        <f t="shared" si="105"/>
        <v>1+0.00029601091267245i</v>
      </c>
      <c r="U188" s="160">
        <f t="shared" si="114"/>
        <v>1.0000000438112293</v>
      </c>
      <c r="V188" s="160">
        <f t="shared" si="115"/>
        <v>2.9601090402671566E-4</v>
      </c>
      <c r="W188" s="98" t="str">
        <f t="shared" si="106"/>
        <v>1-0.00235129235597974i</v>
      </c>
      <c r="X188" s="160">
        <f t="shared" si="116"/>
        <v>1.000002764284051</v>
      </c>
      <c r="Y188" s="160">
        <f t="shared" si="117"/>
        <v>-2.3512880228948188E-3</v>
      </c>
      <c r="Z188" s="98" t="str">
        <f t="shared" si="107"/>
        <v>0.999994926122598+0.00453541891724221i</v>
      </c>
      <c r="AA188" s="160">
        <f t="shared" si="118"/>
        <v>1.0000052111342697</v>
      </c>
      <c r="AB188" s="160">
        <f t="shared" si="119"/>
        <v>4.5354108315358403E-3</v>
      </c>
      <c r="AC188" s="171" t="str">
        <f t="shared" si="120"/>
        <v>1.5879189181974-13.4078462655391i</v>
      </c>
      <c r="AD188" s="190">
        <f t="shared" si="121"/>
        <v>22.607671999407287</v>
      </c>
      <c r="AE188" s="169">
        <f t="shared" si="122"/>
        <v>-83.245803738405144</v>
      </c>
      <c r="AF188" s="98" t="str">
        <f t="shared" si="108"/>
        <v>-0.0000366300366300366</v>
      </c>
      <c r="AG188" s="98" t="str">
        <f t="shared" si="109"/>
        <v>0.000217284606110627i</v>
      </c>
      <c r="AH188" s="98">
        <f t="shared" si="123"/>
        <v>2.1728460611062701E-4</v>
      </c>
      <c r="AI188" s="98">
        <f t="shared" si="124"/>
        <v>1.5707963267948966</v>
      </c>
      <c r="AJ188" s="98" t="str">
        <f t="shared" si="110"/>
        <v>1+0.031034138238863i</v>
      </c>
      <c r="AK188" s="98">
        <f t="shared" si="125"/>
        <v>1.0004814429744455</v>
      </c>
      <c r="AL188" s="98">
        <f t="shared" si="126"/>
        <v>3.1024180816010147E-2</v>
      </c>
      <c r="AM188" s="98" t="str">
        <f t="shared" si="111"/>
        <v>1+2.14135553848154i</v>
      </c>
      <c r="AN188" s="98">
        <f t="shared" si="127"/>
        <v>2.3633458363484525</v>
      </c>
      <c r="AO188" s="98">
        <f t="shared" si="128"/>
        <v>1.1339004772860115</v>
      </c>
      <c r="AP188" s="168" t="str">
        <f t="shared" si="129"/>
        <v>-0.355417593086032+0.179610988729774i</v>
      </c>
      <c r="AQ188" s="98">
        <f t="shared" si="130"/>
        <v>-7.9974673158378975</v>
      </c>
      <c r="AR188" s="169">
        <f t="shared" si="131"/>
        <v>153.19015711274997</v>
      </c>
      <c r="AS188" s="168" t="str">
        <f t="shared" si="132"/>
        <v>1.84382220456879+5.0505921350856i</v>
      </c>
      <c r="AT188" s="190">
        <f t="shared" si="133"/>
        <v>14.610204683569396</v>
      </c>
      <c r="AU188" s="169">
        <f t="shared" si="134"/>
        <v>69.944353374344843</v>
      </c>
      <c r="AV188" s="225"/>
      <c r="AX188">
        <f t="shared" si="135"/>
        <v>0</v>
      </c>
      <c r="AY188">
        <f t="shared" si="136"/>
        <v>0</v>
      </c>
    </row>
    <row r="189" spans="14:51" x14ac:dyDescent="0.3">
      <c r="N189" s="170">
        <v>71</v>
      </c>
      <c r="O189" s="199">
        <f t="shared" si="137"/>
        <v>512.86138399136519</v>
      </c>
      <c r="P189" s="189" t="str">
        <f t="shared" si="103"/>
        <v>108.75</v>
      </c>
      <c r="Q189" s="160" t="str">
        <f t="shared" si="104"/>
        <v>1+8.17845909956136i</v>
      </c>
      <c r="R189" s="160">
        <f t="shared" si="112"/>
        <v>8.2393684978399904</v>
      </c>
      <c r="S189" s="160">
        <f t="shared" si="113"/>
        <v>1.4491278431962831</v>
      </c>
      <c r="T189" s="160" t="str">
        <f t="shared" si="105"/>
        <v>1+0.000302905892576348i</v>
      </c>
      <c r="U189" s="160">
        <f t="shared" si="114"/>
        <v>1.0000000458759888</v>
      </c>
      <c r="V189" s="160">
        <f t="shared" si="115"/>
        <v>3.0290588331227674E-4</v>
      </c>
      <c r="W189" s="98" t="str">
        <f t="shared" si="106"/>
        <v>1-0.00240606099067737i</v>
      </c>
      <c r="X189" s="160">
        <f t="shared" si="116"/>
        <v>1.0000028945605561</v>
      </c>
      <c r="Y189" s="160">
        <f t="shared" si="117"/>
        <v>-2.4060563476939511E-3</v>
      </c>
      <c r="Z189" s="98" t="str">
        <f t="shared" si="107"/>
        <v>0.999994686998123+0.00464106239507152i</v>
      </c>
      <c r="AA189" s="160">
        <f t="shared" si="118"/>
        <v>1.0000054567274266</v>
      </c>
      <c r="AB189" s="160">
        <f t="shared" si="119"/>
        <v>4.6410537310824229E-3</v>
      </c>
      <c r="AC189" s="171" t="str">
        <f t="shared" si="120"/>
        <v>1.51352506293727-13.1117276242177i</v>
      </c>
      <c r="AD189" s="190">
        <f t="shared" si="121"/>
        <v>22.410684922491516</v>
      </c>
      <c r="AE189" s="169">
        <f t="shared" si="122"/>
        <v>-83.415323826617282</v>
      </c>
      <c r="AF189" s="98" t="str">
        <f t="shared" si="108"/>
        <v>-0.0000366300366300366</v>
      </c>
      <c r="AG189" s="98" t="str">
        <f t="shared" si="109"/>
        <v>0.000222345814763489i</v>
      </c>
      <c r="AH189" s="98">
        <f t="shared" si="123"/>
        <v>2.22345814763489E-4</v>
      </c>
      <c r="AI189" s="98">
        <f t="shared" si="124"/>
        <v>1.5707963267948966</v>
      </c>
      <c r="AJ189" s="98" t="str">
        <f t="shared" si="110"/>
        <v>1+0.0317570161813007i</v>
      </c>
      <c r="AK189" s="98">
        <f t="shared" si="125"/>
        <v>1.0005041269663706</v>
      </c>
      <c r="AL189" s="98">
        <f t="shared" si="126"/>
        <v>3.1746346900819636E-2</v>
      </c>
      <c r="AM189" s="98" t="str">
        <f t="shared" si="111"/>
        <v>1+2.19123411650974i</v>
      </c>
      <c r="AN189" s="98">
        <f t="shared" si="127"/>
        <v>2.4086317596005045</v>
      </c>
      <c r="AO189" s="98">
        <f t="shared" si="128"/>
        <v>1.1426628542860189</v>
      </c>
      <c r="AP189" s="168" t="str">
        <f t="shared" si="129"/>
        <v>-0.355401476813848+0.176030030457749i</v>
      </c>
      <c r="AQ189" s="98">
        <f t="shared" si="130"/>
        <v>-8.0328016395432869</v>
      </c>
      <c r="AR189" s="169">
        <f t="shared" si="131"/>
        <v>153.6508272645859</v>
      </c>
      <c r="AS189" s="168" t="str">
        <f t="shared" si="132"/>
        <v>1.77014877048207+4.92635322415531i</v>
      </c>
      <c r="AT189" s="190">
        <f t="shared" si="133"/>
        <v>14.377883282948222</v>
      </c>
      <c r="AU189" s="169">
        <f t="shared" si="134"/>
        <v>70.235503437968632</v>
      </c>
      <c r="AV189" s="225"/>
      <c r="AX189">
        <f t="shared" si="135"/>
        <v>0</v>
      </c>
      <c r="AY189">
        <f t="shared" si="136"/>
        <v>0</v>
      </c>
    </row>
    <row r="190" spans="14:51" x14ac:dyDescent="0.3">
      <c r="N190" s="170">
        <v>72</v>
      </c>
      <c r="O190" s="199">
        <f t="shared" si="137"/>
        <v>524.80746024977248</v>
      </c>
      <c r="P190" s="189" t="str">
        <f t="shared" si="103"/>
        <v>108.75</v>
      </c>
      <c r="Q190" s="160" t="str">
        <f t="shared" si="104"/>
        <v>1+8.36895988423592i</v>
      </c>
      <c r="R190" s="160">
        <f t="shared" si="112"/>
        <v>8.4284927207627174</v>
      </c>
      <c r="S190" s="160">
        <f t="shared" si="113"/>
        <v>1.4518710179222594</v>
      </c>
      <c r="T190" s="160" t="str">
        <f t="shared" si="105"/>
        <v>1+0.000309961477193924i</v>
      </c>
      <c r="U190" s="160">
        <f t="shared" si="114"/>
        <v>1.0000000480380575</v>
      </c>
      <c r="V190" s="160">
        <f t="shared" si="115"/>
        <v>3.0996146726729282E-4</v>
      </c>
      <c r="W190" s="98" t="str">
        <f t="shared" si="106"/>
        <v>1-0.00246210535076025i</v>
      </c>
      <c r="X190" s="160">
        <f t="shared" si="116"/>
        <v>1.0000030309767858</v>
      </c>
      <c r="Y190" s="160">
        <f t="shared" si="117"/>
        <v>-2.4621003757146973E-3</v>
      </c>
      <c r="Z190" s="98" t="str">
        <f t="shared" si="107"/>
        <v>0.999994436604058+0.00474916662561443i</v>
      </c>
      <c r="AA190" s="160">
        <f t="shared" si="118"/>
        <v>1.0000057138950282</v>
      </c>
      <c r="AB190" s="160">
        <f t="shared" si="119"/>
        <v>4.7491573419843969E-3</v>
      </c>
      <c r="AC190" s="171" t="str">
        <f t="shared" si="120"/>
        <v>1.4423830006769-12.8217535025429i</v>
      </c>
      <c r="AD190" s="190">
        <f t="shared" si="121"/>
        <v>22.213564104879204</v>
      </c>
      <c r="AE190" s="169">
        <f t="shared" si="122"/>
        <v>-83.581496872627355</v>
      </c>
      <c r="AF190" s="98" t="str">
        <f t="shared" si="108"/>
        <v>-0.0000366300366300366</v>
      </c>
      <c r="AG190" s="98" t="str">
        <f t="shared" si="109"/>
        <v>0.000227524914110433i</v>
      </c>
      <c r="AH190" s="98">
        <f t="shared" si="123"/>
        <v>2.2752491411043299E-4</v>
      </c>
      <c r="AI190" s="98">
        <f t="shared" si="124"/>
        <v>1.5707963267948966</v>
      </c>
      <c r="AJ190" s="98" t="str">
        <f t="shared" si="110"/>
        <v>1+0.0324967321140716i</v>
      </c>
      <c r="AK190" s="98">
        <f t="shared" si="125"/>
        <v>1.0005278794706791</v>
      </c>
      <c r="AL190" s="98">
        <f t="shared" si="126"/>
        <v>3.2485300099804097E-2</v>
      </c>
      <c r="AM190" s="98" t="str">
        <f t="shared" si="111"/>
        <v>1+2.24227451587093i</v>
      </c>
      <c r="AN190" s="98">
        <f t="shared" si="127"/>
        <v>2.4551568187234425</v>
      </c>
      <c r="AO190" s="98">
        <f t="shared" si="128"/>
        <v>1.1512940270657219</v>
      </c>
      <c r="AP190" s="168" t="str">
        <f t="shared" si="129"/>
        <v>-0.355384602571602+0.172542357434796i</v>
      </c>
      <c r="AQ190" s="98">
        <f t="shared" si="130"/>
        <v>-8.066831273313845</v>
      </c>
      <c r="AR190" s="169">
        <f t="shared" si="131"/>
        <v>154.10301813755154</v>
      </c>
      <c r="AS190" s="168" t="str">
        <f t="shared" si="132"/>
        <v>1.69969486632501+4.80552593603292i</v>
      </c>
      <c r="AT190" s="190">
        <f t="shared" si="133"/>
        <v>14.146732831565352</v>
      </c>
      <c r="AU190" s="169">
        <f t="shared" si="134"/>
        <v>70.521521264924189</v>
      </c>
      <c r="AV190" s="225"/>
      <c r="AX190">
        <f t="shared" si="135"/>
        <v>0</v>
      </c>
      <c r="AY190">
        <f t="shared" si="136"/>
        <v>0</v>
      </c>
    </row>
    <row r="191" spans="14:51" x14ac:dyDescent="0.3">
      <c r="N191" s="170">
        <v>73</v>
      </c>
      <c r="O191" s="199">
        <f t="shared" si="137"/>
        <v>537.03179637025301</v>
      </c>
      <c r="P191" s="189" t="str">
        <f t="shared" si="103"/>
        <v>108.75</v>
      </c>
      <c r="Q191" s="160" t="str">
        <f t="shared" si="104"/>
        <v>1+8.56389800221736i</v>
      </c>
      <c r="R191" s="160">
        <f t="shared" si="112"/>
        <v>8.6220849562262192</v>
      </c>
      <c r="S191" s="160">
        <f t="shared" si="113"/>
        <v>1.4545534891713099</v>
      </c>
      <c r="T191" s="160" t="str">
        <f t="shared" si="105"/>
        <v>1+0.000317181407489533i</v>
      </c>
      <c r="U191" s="160">
        <f t="shared" si="114"/>
        <v>1.0000000503020214</v>
      </c>
      <c r="V191" s="160">
        <f t="shared" si="115"/>
        <v>3.1718139685295608E-4</v>
      </c>
      <c r="W191" s="98" t="str">
        <f t="shared" si="106"/>
        <v>1-0.00251945515168991i</v>
      </c>
      <c r="X191" s="160">
        <f t="shared" si="116"/>
        <v>1.000003173822094</v>
      </c>
      <c r="Y191" s="160">
        <f t="shared" si="117"/>
        <v>-2.5194498208334698E-3</v>
      </c>
      <c r="Z191" s="98" t="str">
        <f t="shared" si="107"/>
        <v>0.999994174409285+0.00485978892716487i</v>
      </c>
      <c r="AA191" s="160">
        <f t="shared" si="118"/>
        <v>1.0000059831825627</v>
      </c>
      <c r="AB191" s="160">
        <f t="shared" si="119"/>
        <v>4.8597789795777968E-3</v>
      </c>
      <c r="AC191" s="171" t="str">
        <f t="shared" si="120"/>
        <v>1.37435469123343-12.5378225471627i</v>
      </c>
      <c r="AD191" s="190">
        <f t="shared" si="121"/>
        <v>22.016315392074368</v>
      </c>
      <c r="AE191" s="169">
        <f t="shared" si="122"/>
        <v>-83.744401516489191</v>
      </c>
      <c r="AF191" s="98" t="str">
        <f t="shared" si="108"/>
        <v>-0.0000366300366300366</v>
      </c>
      <c r="AG191" s="98" t="str">
        <f t="shared" si="109"/>
        <v>0.000232824650178486i</v>
      </c>
      <c r="AH191" s="98">
        <f t="shared" si="123"/>
        <v>2.3282465017848599E-4</v>
      </c>
      <c r="AI191" s="98">
        <f t="shared" si="124"/>
        <v>1.5707963267948966</v>
      </c>
      <c r="AJ191" s="98" t="str">
        <f t="shared" si="110"/>
        <v>1+0.0332536782443543i</v>
      </c>
      <c r="AK191" s="98">
        <f t="shared" si="125"/>
        <v>1.0005527507916707</v>
      </c>
      <c r="AL191" s="98">
        <f t="shared" si="126"/>
        <v>3.3241428985830906E-2</v>
      </c>
      <c r="AM191" s="98" t="str">
        <f t="shared" si="111"/>
        <v>1+2.29450379886044i</v>
      </c>
      <c r="AN191" s="98">
        <f t="shared" si="127"/>
        <v>2.5029477986935706</v>
      </c>
      <c r="AO191" s="98">
        <f t="shared" si="128"/>
        <v>1.1597934269672425</v>
      </c>
      <c r="AP191" s="168" t="str">
        <f t="shared" si="129"/>
        <v>-0.355366934788144+0.16914611701042i</v>
      </c>
      <c r="AQ191" s="98">
        <f t="shared" si="130"/>
        <v>-8.0995960869311752</v>
      </c>
      <c r="AR191" s="169">
        <f t="shared" si="131"/>
        <v>154.54667488636534</v>
      </c>
      <c r="AS191" s="168" t="str">
        <f t="shared" si="132"/>
        <v>1.63232378568293+4.68799432692008i</v>
      </c>
      <c r="AT191" s="190">
        <f t="shared" si="133"/>
        <v>13.916719305143197</v>
      </c>
      <c r="AU191" s="169">
        <f t="shared" si="134"/>
        <v>70.802273369876204</v>
      </c>
      <c r="AV191" s="225"/>
      <c r="AX191">
        <f t="shared" si="135"/>
        <v>0</v>
      </c>
      <c r="AY191">
        <f t="shared" si="136"/>
        <v>0</v>
      </c>
    </row>
    <row r="192" spans="14:51" x14ac:dyDescent="0.3">
      <c r="N192" s="170">
        <v>74</v>
      </c>
      <c r="O192" s="199">
        <f t="shared" si="137"/>
        <v>549.54087385762534</v>
      </c>
      <c r="P192" s="189" t="str">
        <f t="shared" si="103"/>
        <v>108.75</v>
      </c>
      <c r="Q192" s="160" t="str">
        <f t="shared" si="104"/>
        <v>1+8.76337681227618i</v>
      </c>
      <c r="R192" s="160">
        <f t="shared" si="112"/>
        <v>8.8202479077370501</v>
      </c>
      <c r="S192" s="160">
        <f t="shared" si="113"/>
        <v>1.4571765247250088</v>
      </c>
      <c r="T192" s="160" t="str">
        <f t="shared" si="105"/>
        <v>1+0.000324569511565786i</v>
      </c>
      <c r="U192" s="160">
        <f t="shared" si="114"/>
        <v>1.0000000526726824</v>
      </c>
      <c r="V192" s="160">
        <f t="shared" si="115"/>
        <v>3.2456950016848852E-4</v>
      </c>
      <c r="W192" s="98" t="str">
        <f t="shared" si="106"/>
        <v>1-0.00257814080108993i</v>
      </c>
      <c r="X192" s="160">
        <f t="shared" si="116"/>
        <v>1.0000033233994725</v>
      </c>
      <c r="Y192" s="160">
        <f t="shared" si="117"/>
        <v>-2.5781350889753662E-3</v>
      </c>
      <c r="Z192" s="98" t="str">
        <f t="shared" si="107"/>
        <v>0.999993899857654+0.00497298795313142i</v>
      </c>
      <c r="AA192" s="160">
        <f t="shared" si="118"/>
        <v>1.0000062651612245</v>
      </c>
      <c r="AB192" s="160">
        <f t="shared" si="119"/>
        <v>4.9729772941017672E-3</v>
      </c>
      <c r="AC192" s="171" t="str">
        <f t="shared" si="120"/>
        <v>1.30930759792056-12.2598332716109i</v>
      </c>
      <c r="AD192" s="190">
        <f t="shared" si="121"/>
        <v>21.818944380905489</v>
      </c>
      <c r="AE192" s="169">
        <f t="shared" si="122"/>
        <v>-83.904115279944605</v>
      </c>
      <c r="AF192" s="98" t="str">
        <f t="shared" si="108"/>
        <v>-0.0000366300366300366</v>
      </c>
      <c r="AG192" s="98" t="str">
        <f t="shared" si="109"/>
        <v>0.000238247832957863i</v>
      </c>
      <c r="AH192" s="98">
        <f t="shared" si="123"/>
        <v>2.38247832957863E-4</v>
      </c>
      <c r="AI192" s="98">
        <f t="shared" si="124"/>
        <v>1.5707963267948966</v>
      </c>
      <c r="AJ192" s="98" t="str">
        <f t="shared" si="110"/>
        <v>1+0.0340282559150068i</v>
      </c>
      <c r="AK192" s="98">
        <f t="shared" si="125"/>
        <v>1.0005787935992934</v>
      </c>
      <c r="AL192" s="98">
        <f t="shared" si="126"/>
        <v>3.4015131008049412E-2</v>
      </c>
      <c r="AM192" s="98" t="str">
        <f t="shared" si="111"/>
        <v>1+2.34794965813546i</v>
      </c>
      <c r="AN192" s="98">
        <f t="shared" si="127"/>
        <v>2.5520320525295963</v>
      </c>
      <c r="AO192" s="98">
        <f t="shared" si="128"/>
        <v>1.1681606474786035</v>
      </c>
      <c r="AP192" s="168" t="str">
        <f t="shared" si="129"/>
        <v>-0.355348436230435+0.165839504767767i</v>
      </c>
      <c r="AQ192" s="98">
        <f t="shared" si="130"/>
        <v>-8.131135512653243</v>
      </c>
      <c r="AR192" s="169">
        <f t="shared" si="131"/>
        <v>154.98175144744772</v>
      </c>
      <c r="AS192" s="168" t="str">
        <f t="shared" si="132"/>
        <v>1.56790427083365+4.57364750514061i</v>
      </c>
      <c r="AT192" s="190">
        <f t="shared" si="133"/>
        <v>13.687808868252244</v>
      </c>
      <c r="AU192" s="169">
        <f t="shared" si="134"/>
        <v>71.077636167503073</v>
      </c>
      <c r="AV192" s="225"/>
      <c r="AX192">
        <f t="shared" si="135"/>
        <v>0</v>
      </c>
      <c r="AY192">
        <f t="shared" si="136"/>
        <v>0</v>
      </c>
    </row>
    <row r="193" spans="14:51" x14ac:dyDescent="0.3">
      <c r="N193" s="170">
        <v>75</v>
      </c>
      <c r="O193" s="199">
        <f t="shared" si="137"/>
        <v>562.34132519034927</v>
      </c>
      <c r="P193" s="189" t="str">
        <f t="shared" si="103"/>
        <v>108.75</v>
      </c>
      <c r="Q193" s="160" t="str">
        <f t="shared" si="104"/>
        <v>1+8.96750208071787i</v>
      </c>
      <c r="R193" s="160">
        <f t="shared" si="112"/>
        <v>9.0230866984463436</v>
      </c>
      <c r="S193" s="160">
        <f t="shared" si="113"/>
        <v>1.459741370895054</v>
      </c>
      <c r="T193" s="160" t="str">
        <f t="shared" si="105"/>
        <v>1+0.000332129706693255i</v>
      </c>
      <c r="U193" s="160">
        <f t="shared" si="114"/>
        <v>1.0000000551550696</v>
      </c>
      <c r="V193" s="160">
        <f t="shared" si="115"/>
        <v>3.3212969448083077E-4</v>
      </c>
      <c r="W193" s="98" t="str">
        <f t="shared" si="106"/>
        <v>1-0.00263819341486841i</v>
      </c>
      <c r="X193" s="160">
        <f t="shared" si="116"/>
        <v>1.0000034800261919</v>
      </c>
      <c r="Y193" s="160">
        <f t="shared" si="117"/>
        <v>-2.6381872942285315E-3</v>
      </c>
      <c r="Z193" s="98" t="str">
        <f t="shared" si="107"/>
        <v>0.999993612366802+0.00508882372313599i</v>
      </c>
      <c r="AA193" s="160">
        <f t="shared" si="118"/>
        <v>1.0000065604291259</v>
      </c>
      <c r="AB193" s="160">
        <f t="shared" si="119"/>
        <v>5.08881230178212E-3</v>
      </c>
      <c r="AC193" s="171" t="str">
        <f t="shared" si="120"/>
        <v>1.24711449946257-11.9876842083729i</v>
      </c>
      <c r="AD193" s="190">
        <f t="shared" si="121"/>
        <v>21.621456429460611</v>
      </c>
      <c r="AE193" s="169">
        <f t="shared" si="122"/>
        <v>-84.060714568333495</v>
      </c>
      <c r="AF193" s="98" t="str">
        <f t="shared" si="108"/>
        <v>-0.0000366300366300366</v>
      </c>
      <c r="AG193" s="98" t="str">
        <f t="shared" si="109"/>
        <v>0.000243797337891857i</v>
      </c>
      <c r="AH193" s="98">
        <f t="shared" si="123"/>
        <v>2.4379733789185699E-4</v>
      </c>
      <c r="AI193" s="98">
        <f t="shared" si="124"/>
        <v>1.5707963267948966</v>
      </c>
      <c r="AJ193" s="98" t="str">
        <f t="shared" si="110"/>
        <v>1+0.0348208758173625i</v>
      </c>
      <c r="AK193" s="98">
        <f t="shared" si="125"/>
        <v>1.0006060630401399</v>
      </c>
      <c r="AL193" s="98">
        <f t="shared" si="126"/>
        <v>3.4806812686199125E-2</v>
      </c>
      <c r="AM193" s="98" t="str">
        <f t="shared" si="111"/>
        <v>1+2.40264043139801i</v>
      </c>
      <c r="AN193" s="98">
        <f t="shared" si="127"/>
        <v>2.6024375194398841</v>
      </c>
      <c r="AO193" s="98">
        <f t="shared" si="128"/>
        <v>1.1763954376216645</v>
      </c>
      <c r="AP193" s="168" t="str">
        <f t="shared" si="129"/>
        <v>-0.35532906792661+0.162620763549471i</v>
      </c>
      <c r="AQ193" s="98">
        <f t="shared" si="130"/>
        <v>-8.161488493652433</v>
      </c>
      <c r="AR193" s="169">
        <f t="shared" si="131"/>
        <v>155.40821014894522</v>
      </c>
      <c r="AS193" s="168" t="str">
        <f t="shared" si="132"/>
        <v>1.50631032646374+4.4623793684959i</v>
      </c>
      <c r="AT193" s="190">
        <f t="shared" si="133"/>
        <v>13.459967935808173</v>
      </c>
      <c r="AU193" s="169">
        <f t="shared" si="134"/>
        <v>71.347495580611735</v>
      </c>
      <c r="AV193" s="225"/>
      <c r="AX193">
        <f t="shared" si="135"/>
        <v>0</v>
      </c>
      <c r="AY193">
        <f t="shared" si="136"/>
        <v>0</v>
      </c>
    </row>
    <row r="194" spans="14:51" x14ac:dyDescent="0.3">
      <c r="N194" s="170">
        <v>76</v>
      </c>
      <c r="O194" s="199">
        <f t="shared" si="137"/>
        <v>575.43993733715706</v>
      </c>
      <c r="P194" s="189" t="str">
        <f t="shared" si="103"/>
        <v>108.75</v>
      </c>
      <c r="Q194" s="160" t="str">
        <f t="shared" si="104"/>
        <v>1+9.17638203746168i</v>
      </c>
      <c r="R194" s="160">
        <f t="shared" si="112"/>
        <v>9.2307089271328113</v>
      </c>
      <c r="S194" s="160">
        <f t="shared" si="113"/>
        <v>1.4622492525423227</v>
      </c>
      <c r="T194" s="160" t="str">
        <f t="shared" si="105"/>
        <v>1+0.000339866001387471i</v>
      </c>
      <c r="U194" s="160">
        <f t="shared" si="114"/>
        <v>1.0000000577544477</v>
      </c>
      <c r="V194" s="160">
        <f t="shared" si="115"/>
        <v>3.3986598830162274E-4</v>
      </c>
      <c r="W194" s="98" t="str">
        <f t="shared" si="106"/>
        <v>1-0.00269964483371608i</v>
      </c>
      <c r="X194" s="160">
        <f t="shared" si="116"/>
        <v>1.0000036440344746</v>
      </c>
      <c r="Y194" s="160">
        <f t="shared" si="117"/>
        <v>-2.6996382753335805E-3</v>
      </c>
      <c r="Z194" s="98" t="str">
        <f t="shared" si="107"/>
        <v>0.999993311326924+0.00520735765483712i</v>
      </c>
      <c r="AA194" s="160">
        <f t="shared" si="118"/>
        <v>1.0000068696125701</v>
      </c>
      <c r="AB194" s="160">
        <f t="shared" si="119"/>
        <v>5.2073454166384004E-3</v>
      </c>
      <c r="AC194" s="171" t="str">
        <f t="shared" si="120"/>
        <v>1.18765330547931-11.721274048981i</v>
      </c>
      <c r="AD194" s="190">
        <f t="shared" si="121"/>
        <v>21.423856666679658</v>
      </c>
      <c r="AE194" s="169">
        <f t="shared" si="122"/>
        <v>-84.214274674333438</v>
      </c>
      <c r="AF194" s="98" t="str">
        <f t="shared" si="108"/>
        <v>-0.0000366300366300366</v>
      </c>
      <c r="AG194" s="98" t="str">
        <f t="shared" si="109"/>
        <v>0.00024947610740144i</v>
      </c>
      <c r="AH194" s="98">
        <f t="shared" si="123"/>
        <v>2.4947610740144E-4</v>
      </c>
      <c r="AI194" s="98">
        <f t="shared" si="124"/>
        <v>1.5707963267948966</v>
      </c>
      <c r="AJ194" s="98" t="str">
        <f t="shared" si="110"/>
        <v>1+0.0356319582089855i</v>
      </c>
      <c r="AK194" s="98">
        <f t="shared" si="125"/>
        <v>1.000634616853628</v>
      </c>
      <c r="AL194" s="98">
        <f t="shared" si="126"/>
        <v>3.5616889808562667E-2</v>
      </c>
      <c r="AM194" s="98" t="str">
        <f t="shared" si="111"/>
        <v>1+2.45860511641999i</v>
      </c>
      <c r="AN194" s="98">
        <f t="shared" si="127"/>
        <v>2.6541927432811945</v>
      </c>
      <c r="AO194" s="98">
        <f t="shared" si="128"/>
        <v>1.1844976952147148</v>
      </c>
      <c r="AP194" s="168" t="str">
        <f t="shared" si="129"/>
        <v>-0.355308789085563+0.159488182507332i</v>
      </c>
      <c r="AQ194" s="98">
        <f t="shared" si="130"/>
        <v>-8.1906934372976252</v>
      </c>
      <c r="AR194" s="169">
        <f t="shared" si="131"/>
        <v>155.82602131336327</v>
      </c>
      <c r="AS194" s="168" t="str">
        <f t="shared" si="132"/>
        <v>1.44742103691902+4.35408835602319i</v>
      </c>
      <c r="AT194" s="190">
        <f t="shared" si="133"/>
        <v>13.233163229382026</v>
      </c>
      <c r="AU194" s="169">
        <f t="shared" si="134"/>
        <v>71.611746639029775</v>
      </c>
      <c r="AV194" s="225"/>
      <c r="AX194">
        <f t="shared" si="135"/>
        <v>0</v>
      </c>
      <c r="AY194">
        <f t="shared" si="136"/>
        <v>0</v>
      </c>
    </row>
    <row r="195" spans="14:51" x14ac:dyDescent="0.3">
      <c r="N195" s="170">
        <v>77</v>
      </c>
      <c r="O195" s="199">
        <f t="shared" si="137"/>
        <v>588.84365535558959</v>
      </c>
      <c r="P195" s="189" t="str">
        <f t="shared" si="103"/>
        <v>108.75</v>
      </c>
      <c r="Q195" s="160" t="str">
        <f t="shared" si="104"/>
        <v>1+9.39012743342553i</v>
      </c>
      <c r="R195" s="160">
        <f t="shared" si="112"/>
        <v>9.443224725482855</v>
      </c>
      <c r="S195" s="160">
        <f t="shared" si="113"/>
        <v>1.4647013731243599</v>
      </c>
      <c r="T195" s="160" t="str">
        <f t="shared" si="105"/>
        <v>1+0.00034778249753428i</v>
      </c>
      <c r="U195" s="160">
        <f t="shared" si="114"/>
        <v>1.0000000604763311</v>
      </c>
      <c r="V195" s="160">
        <f t="shared" si="115"/>
        <v>3.4778248351254097E-4</v>
      </c>
      <c r="W195" s="98" t="str">
        <f t="shared" si="106"/>
        <v>1-0.00276252763998861i</v>
      </c>
      <c r="X195" s="160">
        <f t="shared" si="116"/>
        <v>1.0000038157722009</v>
      </c>
      <c r="Y195" s="160">
        <f t="shared" si="117"/>
        <v>-2.7625206125565988E-3</v>
      </c>
      <c r="Z195" s="98" t="str">
        <f t="shared" si="107"/>
        <v>0.999992996099473+0.00532865259649437i</v>
      </c>
      <c r="AA195" s="160">
        <f t="shared" si="118"/>
        <v>1.0000071933673751</v>
      </c>
      <c r="AB195" s="160">
        <f t="shared" si="119"/>
        <v>5.3286394830309248E-3</v>
      </c>
      <c r="AC195" s="171" t="str">
        <f t="shared" si="120"/>
        <v>1.13080687576854-11.460501772832i</v>
      </c>
      <c r="AD195" s="190">
        <f t="shared" si="121"/>
        <v>21.226150001610357</v>
      </c>
      <c r="AE195" s="169">
        <f t="shared" si="122"/>
        <v>-84.364869783390262</v>
      </c>
      <c r="AF195" s="98" t="str">
        <f t="shared" si="108"/>
        <v>-0.0000366300366300366</v>
      </c>
      <c r="AG195" s="98" t="str">
        <f t="shared" si="109"/>
        <v>0.000255287152445375i</v>
      </c>
      <c r="AH195" s="98">
        <f t="shared" si="123"/>
        <v>2.5528715244537499E-4</v>
      </c>
      <c r="AI195" s="98">
        <f t="shared" si="124"/>
        <v>1.5707963267948966</v>
      </c>
      <c r="AJ195" s="98" t="str">
        <f t="shared" si="110"/>
        <v>1+0.0364619331364955i</v>
      </c>
      <c r="AK195" s="98">
        <f t="shared" si="125"/>
        <v>1.0006645154936045</v>
      </c>
      <c r="AL195" s="98">
        <f t="shared" si="126"/>
        <v>3.644578763358091E-2</v>
      </c>
      <c r="AM195" s="98" t="str">
        <f t="shared" si="111"/>
        <v>1+2.51587338641818i</v>
      </c>
      <c r="AN195" s="98">
        <f t="shared" si="127"/>
        <v>2.707326891324223</v>
      </c>
      <c r="AO195" s="98">
        <f t="shared" si="128"/>
        <v>1.192467460050979</v>
      </c>
      <c r="AP195" s="168" t="str">
        <f t="shared" si="129"/>
        <v>-0.355287557012882+0.156440096175224i</v>
      </c>
      <c r="AQ195" s="98">
        <f t="shared" si="130"/>
        <v>-8.2187881731720509</v>
      </c>
      <c r="AR195" s="169">
        <f t="shared" si="131"/>
        <v>156.23516285517195</v>
      </c>
      <c r="AS195" s="168" t="str">
        <f t="shared" si="132"/>
        <v>1.39112038721299+4.24867721341212i</v>
      </c>
      <c r="AT195" s="190">
        <f t="shared" si="133"/>
        <v>13.007361828438306</v>
      </c>
      <c r="AU195" s="169">
        <f t="shared" si="134"/>
        <v>71.870293071781688</v>
      </c>
      <c r="AV195" s="225"/>
      <c r="AX195">
        <f t="shared" si="135"/>
        <v>0</v>
      </c>
      <c r="AY195">
        <f t="shared" si="136"/>
        <v>0</v>
      </c>
    </row>
    <row r="196" spans="14:51" x14ac:dyDescent="0.3">
      <c r="N196" s="170">
        <v>78</v>
      </c>
      <c r="O196" s="199">
        <f t="shared" si="137"/>
        <v>602.55958607435832</v>
      </c>
      <c r="P196" s="189" t="str">
        <f t="shared" si="103"/>
        <v>108.75</v>
      </c>
      <c r="Q196" s="160" t="str">
        <f t="shared" si="104"/>
        <v>1+9.6088515992476i</v>
      </c>
      <c r="R196" s="160">
        <f t="shared" si="112"/>
        <v>9.6607468166991701</v>
      </c>
      <c r="S196" s="160">
        <f t="shared" si="113"/>
        <v>1.4670989147689839</v>
      </c>
      <c r="T196" s="160" t="str">
        <f t="shared" si="105"/>
        <v>1+0.000355883392564727i</v>
      </c>
      <c r="U196" s="160">
        <f t="shared" si="114"/>
        <v>1.0000000633264925</v>
      </c>
      <c r="V196" s="160">
        <f t="shared" si="115"/>
        <v>3.5588337754016301E-4</v>
      </c>
      <c r="W196" s="98" t="str">
        <f t="shared" si="106"/>
        <v>1-0.00282687517498223i</v>
      </c>
      <c r="X196" s="160">
        <f t="shared" si="116"/>
        <v>1.0000039956036451</v>
      </c>
      <c r="Y196" s="160">
        <f t="shared" si="117"/>
        <v>-2.8268676449547886E-3</v>
      </c>
      <c r="Z196" s="98" t="str">
        <f t="shared" si="107"/>
        <v>0.999992666015811+0.00545277286029133i</v>
      </c>
      <c r="AA196" s="160">
        <f t="shared" si="118"/>
        <v>1.0000075323802693</v>
      </c>
      <c r="AB196" s="160">
        <f t="shared" si="119"/>
        <v>5.4527588089651633E-3</v>
      </c>
      <c r="AC196" s="171" t="str">
        <f t="shared" si="120"/>
        <v>1.07646284357315-11.2052667653933i</v>
      </c>
      <c r="AD196" s="190">
        <f t="shared" si="121"/>
        <v>21.028341132336696</v>
      </c>
      <c r="AE196" s="169">
        <f t="shared" si="122"/>
        <v>-84.512572980708669</v>
      </c>
      <c r="AF196" s="98" t="str">
        <f t="shared" si="108"/>
        <v>-0.0000366300366300366</v>
      </c>
      <c r="AG196" s="98" t="str">
        <f t="shared" si="109"/>
        <v>0.000261233554116661i</v>
      </c>
      <c r="AH196" s="98">
        <f t="shared" si="123"/>
        <v>2.6123355411666101E-4</v>
      </c>
      <c r="AI196" s="98">
        <f t="shared" si="124"/>
        <v>1.5707963267948966</v>
      </c>
      <c r="AJ196" s="98" t="str">
        <f t="shared" si="110"/>
        <v>1+0.0373112406635853i</v>
      </c>
      <c r="AK196" s="98">
        <f t="shared" si="125"/>
        <v>1.0006958222556224</v>
      </c>
      <c r="AL196" s="98">
        <f t="shared" si="126"/>
        <v>3.729394109515357E-2</v>
      </c>
      <c r="AM196" s="98" t="str">
        <f t="shared" si="111"/>
        <v>1+2.57447560578738i</v>
      </c>
      <c r="AN196" s="98">
        <f t="shared" si="127"/>
        <v>2.7618697733228292</v>
      </c>
      <c r="AO196" s="98">
        <f t="shared" si="128"/>
        <v>1.2003049070314773</v>
      </c>
      <c r="AP196" s="168" t="str">
        <f t="shared" si="129"/>
        <v>-0.355265327022994+0.153474883564663i</v>
      </c>
      <c r="AQ196" s="98">
        <f t="shared" si="130"/>
        <v>-8.2458099156956237</v>
      </c>
      <c r="AR196" s="169">
        <f t="shared" si="131"/>
        <v>156.63561987558444</v>
      </c>
      <c r="AS196" s="168" t="str">
        <f t="shared" si="132"/>
        <v>1.33729708797961+4.14605277136641i</v>
      </c>
      <c r="AT196" s="190">
        <f t="shared" si="133"/>
        <v>12.782531216641072</v>
      </c>
      <c r="AU196" s="169">
        <f t="shared" si="134"/>
        <v>72.123046894875756</v>
      </c>
      <c r="AV196" s="225"/>
      <c r="AX196">
        <f t="shared" si="135"/>
        <v>0</v>
      </c>
      <c r="AY196">
        <f t="shared" si="136"/>
        <v>0</v>
      </c>
    </row>
    <row r="197" spans="14:51" x14ac:dyDescent="0.3">
      <c r="N197" s="170">
        <v>79</v>
      </c>
      <c r="O197" s="199">
        <f t="shared" si="137"/>
        <v>616.59500186148273</v>
      </c>
      <c r="P197" s="189" t="str">
        <f t="shared" si="103"/>
        <v>108.75</v>
      </c>
      <c r="Q197" s="160" t="str">
        <f t="shared" si="104"/>
        <v>1+9.8326705053758i</v>
      </c>
      <c r="R197" s="160">
        <f t="shared" si="112"/>
        <v>9.8833905754698979</v>
      </c>
      <c r="S197" s="160">
        <f t="shared" si="113"/>
        <v>1.4694430383718369</v>
      </c>
      <c r="T197" s="160" t="str">
        <f t="shared" si="105"/>
        <v>1+0.000364172981680586i</v>
      </c>
      <c r="U197" s="160">
        <f t="shared" si="114"/>
        <v>1.000000066310978</v>
      </c>
      <c r="V197" s="160">
        <f t="shared" si="115"/>
        <v>3.6417296558147568E-4</v>
      </c>
      <c r="W197" s="98" t="str">
        <f t="shared" si="106"/>
        <v>1-0.00289272155661175i</v>
      </c>
      <c r="X197" s="160">
        <f t="shared" si="116"/>
        <v>1.0000041839102496</v>
      </c>
      <c r="Y197" s="160">
        <f t="shared" si="117"/>
        <v>-2.892713488043801E-3</v>
      </c>
      <c r="Z197" s="98" t="str">
        <f t="shared" si="107"/>
        <v>0.999992320375784+0.00557978425643481i</v>
      </c>
      <c r="AA197" s="160">
        <f t="shared" si="118"/>
        <v>1.0000078873703411</v>
      </c>
      <c r="AB197" s="160">
        <f t="shared" si="119"/>
        <v>5.5797692001710135E-3</v>
      </c>
      <c r="AC197" s="171" t="str">
        <f t="shared" si="120"/>
        <v>1.02451344298545-10.9554689264285i</v>
      </c>
      <c r="AD197" s="190">
        <f t="shared" si="121"/>
        <v>20.830434554584375</v>
      </c>
      <c r="AE197" s="169">
        <f t="shared" si="122"/>
        <v>-84.657456259678327</v>
      </c>
      <c r="AF197" s="98" t="str">
        <f t="shared" si="108"/>
        <v>-0.0000366300366300366</v>
      </c>
      <c r="AG197" s="98" t="str">
        <f t="shared" si="109"/>
        <v>0.000267318465276174i</v>
      </c>
      <c r="AH197" s="98">
        <f t="shared" si="123"/>
        <v>2.6731846527617398E-4</v>
      </c>
      <c r="AI197" s="98">
        <f t="shared" si="124"/>
        <v>1.5707963267948966</v>
      </c>
      <c r="AJ197" s="98" t="str">
        <f t="shared" si="110"/>
        <v>1+0.0381803311043476i</v>
      </c>
      <c r="AK197" s="98">
        <f t="shared" si="125"/>
        <v>1.0007286034101541</v>
      </c>
      <c r="AL197" s="98">
        <f t="shared" si="126"/>
        <v>3.8161795011635379E-2</v>
      </c>
      <c r="AM197" s="98" t="str">
        <f t="shared" si="111"/>
        <v>1+2.63444284619997i</v>
      </c>
      <c r="AN197" s="98">
        <f t="shared" si="127"/>
        <v>2.8178518608852023</v>
      </c>
      <c r="AO197" s="98">
        <f t="shared" si="128"/>
        <v>1.2080103392877688</v>
      </c>
      <c r="AP197" s="168" t="str">
        <f t="shared" si="129"/>
        <v>-0.355242052347323+0.150590967282429i</v>
      </c>
      <c r="AQ197" s="98">
        <f t="shared" si="130"/>
        <v>-8.2717952312030967</v>
      </c>
      <c r="AR197" s="169">
        <f t="shared" si="131"/>
        <v>157.02738425654562</v>
      </c>
      <c r="AS197" s="168" t="str">
        <f t="shared" si="132"/>
        <v>1.28584440451989+4.04612573622481i</v>
      </c>
      <c r="AT197" s="190">
        <f t="shared" si="133"/>
        <v>12.558639323381273</v>
      </c>
      <c r="AU197" s="169">
        <f t="shared" si="134"/>
        <v>72.369927996867247</v>
      </c>
      <c r="AV197" s="225"/>
      <c r="AX197">
        <f t="shared" si="135"/>
        <v>0</v>
      </c>
      <c r="AY197">
        <f t="shared" si="136"/>
        <v>0</v>
      </c>
    </row>
    <row r="198" spans="14:51" x14ac:dyDescent="0.3">
      <c r="N198" s="170">
        <v>80</v>
      </c>
      <c r="O198" s="199">
        <f t="shared" si="137"/>
        <v>630.95734448019323</v>
      </c>
      <c r="P198" s="189" t="str">
        <f t="shared" si="103"/>
        <v>108.75</v>
      </c>
      <c r="Q198" s="160" t="str">
        <f t="shared" si="104"/>
        <v>1+10.0617028235567i</v>
      </c>
      <c r="R198" s="160">
        <f t="shared" si="112"/>
        <v>10.111274089330625</v>
      </c>
      <c r="S198" s="160">
        <f t="shared" si="113"/>
        <v>1.4717348837158257</v>
      </c>
      <c r="T198" s="160" t="str">
        <f t="shared" si="105"/>
        <v>1+0.000372655660131731i</v>
      </c>
      <c r="U198" s="160">
        <f t="shared" si="114"/>
        <v>1.0000000694361182</v>
      </c>
      <c r="V198" s="160">
        <f t="shared" si="115"/>
        <v>3.7265564288122357E-4</v>
      </c>
      <c r="W198" s="98" t="str">
        <f t="shared" si="106"/>
        <v>1-0.00296010169750028i</v>
      </c>
      <c r="X198" s="160">
        <f t="shared" si="116"/>
        <v>1.0000043810914327</v>
      </c>
      <c r="Y198" s="160">
        <f t="shared" si="117"/>
        <v>-2.9600930518760026E-3</v>
      </c>
      <c r="Z198" s="98" t="str">
        <f t="shared" si="107"/>
        <v>0.999991958446246+0.00570975412804821i</v>
      </c>
      <c r="AA198" s="160">
        <f t="shared" si="118"/>
        <v>1.0000082590905743</v>
      </c>
      <c r="AB198" s="160">
        <f t="shared" si="119"/>
        <v>5.7097379949747557E-3</v>
      </c>
      <c r="AC198" s="171" t="str">
        <f t="shared" si="120"/>
        <v>0.974855340608998-10.7110087688536i</v>
      </c>
      <c r="AD198" s="190">
        <f t="shared" si="121"/>
        <v>20.632434570014698</v>
      </c>
      <c r="AE198" s="169">
        <f t="shared" si="122"/>
        <v>-84.799590531620979</v>
      </c>
      <c r="AF198" s="98" t="str">
        <f t="shared" si="108"/>
        <v>-0.0000366300366300366</v>
      </c>
      <c r="AG198" s="98" t="str">
        <f t="shared" si="109"/>
        <v>0.000273545112224355i</v>
      </c>
      <c r="AH198" s="98">
        <f t="shared" si="123"/>
        <v>2.7354511222435501E-4</v>
      </c>
      <c r="AI198" s="98">
        <f t="shared" si="124"/>
        <v>1.5707963267948966</v>
      </c>
      <c r="AJ198" s="98" t="str">
        <f t="shared" si="110"/>
        <v>1+0.0390696652620377i</v>
      </c>
      <c r="AK198" s="98">
        <f t="shared" si="125"/>
        <v>1.0007629283420163</v>
      </c>
      <c r="AL198" s="98">
        <f t="shared" si="126"/>
        <v>3.9049804298540478E-2</v>
      </c>
      <c r="AM198" s="98" t="str">
        <f t="shared" si="111"/>
        <v>1+2.6958069030806i</v>
      </c>
      <c r="AN198" s="98">
        <f t="shared" si="127"/>
        <v>2.8753043071468127</v>
      </c>
      <c r="AO198" s="98">
        <f t="shared" si="128"/>
        <v>1.2155841813272068</v>
      </c>
      <c r="AP198" s="168" t="str">
        <f t="shared" si="129"/>
        <v>-0.355217684038342+0.147786812669705i</v>
      </c>
      <c r="AQ198" s="98">
        <f t="shared" si="130"/>
        <v>-8.2967800093113713</v>
      </c>
      <c r="AR198" s="169">
        <f t="shared" si="131"/>
        <v>157.41045425579617</v>
      </c>
      <c r="AS198" s="168" t="str">
        <f t="shared" si="132"/>
        <v>1.2366599900626+3.94881049218919i</v>
      </c>
      <c r="AT198" s="190">
        <f t="shared" si="133"/>
        <v>12.335654560703324</v>
      </c>
      <c r="AU198" s="169">
        <f t="shared" si="134"/>
        <v>72.610863724175147</v>
      </c>
      <c r="AV198" s="225"/>
      <c r="AX198">
        <f t="shared" si="135"/>
        <v>0</v>
      </c>
      <c r="AY198">
        <f t="shared" si="136"/>
        <v>0</v>
      </c>
    </row>
    <row r="199" spans="14:51" x14ac:dyDescent="0.3">
      <c r="N199" s="170">
        <v>81</v>
      </c>
      <c r="O199" s="199">
        <f t="shared" si="137"/>
        <v>645.65422903465594</v>
      </c>
      <c r="P199" s="189" t="str">
        <f t="shared" si="103"/>
        <v>108.75</v>
      </c>
      <c r="Q199" s="160" t="str">
        <f t="shared" si="104"/>
        <v>1+10.296069989757i</v>
      </c>
      <c r="R199" s="160">
        <f t="shared" si="112"/>
        <v>10.344518221453075</v>
      </c>
      <c r="S199" s="160">
        <f t="shared" si="113"/>
        <v>1.473975569610541</v>
      </c>
      <c r="T199" s="160" t="str">
        <f t="shared" si="105"/>
        <v>1+0.000381335925546558i</v>
      </c>
      <c r="U199" s="160">
        <f t="shared" si="114"/>
        <v>1.0000000727085414</v>
      </c>
      <c r="V199" s="160">
        <f t="shared" si="115"/>
        <v>3.8133590706230635E-4</v>
      </c>
      <c r="W199" s="98" t="str">
        <f t="shared" si="106"/>
        <v>1-0.0030290513234904i</v>
      </c>
      <c r="X199" s="160">
        <f t="shared" si="116"/>
        <v>1.0000045875654373</v>
      </c>
      <c r="Y199" s="160">
        <f t="shared" si="117"/>
        <v>-3.0290420595393761E-3</v>
      </c>
      <c r="Z199" s="98" t="str">
        <f t="shared" si="107"/>
        <v>0.999991579459493+0.00584275138687784i</v>
      </c>
      <c r="AA199" s="160">
        <f t="shared" si="118"/>
        <v>1.0000086483294335</v>
      </c>
      <c r="AB199" s="160">
        <f t="shared" si="119"/>
        <v>5.8427340999825288E-3</v>
      </c>
      <c r="AC199" s="171" t="str">
        <f t="shared" si="120"/>
        <v>0.927389471569165-10.4717875087971i</v>
      </c>
      <c r="AD199" s="190">
        <f t="shared" si="121"/>
        <v>20.434345294211177</v>
      </c>
      <c r="AE199" s="169">
        <f t="shared" si="122"/>
        <v>-84.939045636749427</v>
      </c>
      <c r="AF199" s="98" t="str">
        <f t="shared" si="108"/>
        <v>-0.0000366300366300366</v>
      </c>
      <c r="AG199" s="98" t="str">
        <f t="shared" si="109"/>
        <v>0.000279916796411835i</v>
      </c>
      <c r="AH199" s="98">
        <f t="shared" si="123"/>
        <v>2.7991679641183498E-4</v>
      </c>
      <c r="AI199" s="98">
        <f t="shared" si="124"/>
        <v>1.5707963267948966</v>
      </c>
      <c r="AJ199" s="98" t="str">
        <f t="shared" si="110"/>
        <v>1+0.039979714673398i</v>
      </c>
      <c r="AK199" s="98">
        <f t="shared" si="125"/>
        <v>1.0007988696962873</v>
      </c>
      <c r="AL199" s="98">
        <f t="shared" si="126"/>
        <v>3.995843418495864E-2</v>
      </c>
      <c r="AM199" s="98" t="str">
        <f t="shared" si="111"/>
        <v>1+2.75860031246445i</v>
      </c>
      <c r="AN199" s="98">
        <f t="shared" si="127"/>
        <v>2.9342589667459418</v>
      </c>
      <c r="AO199" s="98">
        <f t="shared" si="128"/>
        <v>1.2230269722303431</v>
      </c>
      <c r="AP199" s="168" t="str">
        <f t="shared" si="129"/>
        <v>-0.355192170869285+0.145060926962135i</v>
      </c>
      <c r="AQ199" s="98">
        <f t="shared" si="130"/>
        <v>-8.3207994383993622</v>
      </c>
      <c r="AR199" s="169">
        <f t="shared" si="131"/>
        <v>157.78483410471304</v>
      </c>
      <c r="AS199" s="168" t="str">
        <f t="shared" si="132"/>
        <v>1.18964572332864+3.85402491453225i</v>
      </c>
      <c r="AT199" s="190">
        <f t="shared" si="133"/>
        <v>12.113545855811811</v>
      </c>
      <c r="AU199" s="169">
        <f t="shared" si="134"/>
        <v>72.845788467963658</v>
      </c>
      <c r="AV199" s="225"/>
      <c r="AX199">
        <f t="shared" si="135"/>
        <v>0</v>
      </c>
      <c r="AY199">
        <f t="shared" si="136"/>
        <v>0</v>
      </c>
    </row>
    <row r="200" spans="14:51" x14ac:dyDescent="0.3">
      <c r="N200" s="170">
        <v>82</v>
      </c>
      <c r="O200" s="199">
        <f t="shared" si="137"/>
        <v>660.69344800759643</v>
      </c>
      <c r="P200" s="189" t="str">
        <f t="shared" si="103"/>
        <v>108.75</v>
      </c>
      <c r="Q200" s="160" t="str">
        <f t="shared" si="104"/>
        <v>1+10.5358962685506i</v>
      </c>
      <c r="R200" s="160">
        <f t="shared" si="112"/>
        <v>10.583246674894166</v>
      </c>
      <c r="S200" s="160">
        <f t="shared" si="113"/>
        <v>1.4761661940498476</v>
      </c>
      <c r="T200" s="160" t="str">
        <f t="shared" si="105"/>
        <v>1+0.000390218380316689i</v>
      </c>
      <c r="U200" s="160">
        <f t="shared" si="114"/>
        <v>1.0000000761351893</v>
      </c>
      <c r="V200" s="160">
        <f t="shared" si="115"/>
        <v>3.9021836051045657E-4</v>
      </c>
      <c r="W200" s="98" t="str">
        <f t="shared" si="106"/>
        <v>1-0.00309960699258647i</v>
      </c>
      <c r="X200" s="160">
        <f t="shared" si="116"/>
        <v>1.0000048037702161</v>
      </c>
      <c r="Y200" s="160">
        <f t="shared" si="117"/>
        <v>-3.0995970660866808E-3</v>
      </c>
      <c r="Z200" s="98" t="str">
        <f t="shared" si="107"/>
        <v>0.999991182611645+0.00597884654983076i</v>
      </c>
      <c r="AA200" s="160">
        <f t="shared" si="118"/>
        <v>1.0000090559125465</v>
      </c>
      <c r="AB200" s="160">
        <f t="shared" si="119"/>
        <v>5.9788280265935826E-3</v>
      </c>
      <c r="AC200" s="171" t="str">
        <f t="shared" si="120"/>
        <v>0.882020879938528-10.2377071474174i</v>
      </c>
      <c r="AD200" s="190">
        <f t="shared" si="121"/>
        <v>20.236170664369407</v>
      </c>
      <c r="AE200" s="169">
        <f t="shared" si="122"/>
        <v>-85.075890356236442</v>
      </c>
      <c r="AF200" s="98" t="str">
        <f t="shared" si="108"/>
        <v>-0.0000366300366300366</v>
      </c>
      <c r="AG200" s="98" t="str">
        <f t="shared" si="109"/>
        <v>0.000286436896189909i</v>
      </c>
      <c r="AH200" s="98">
        <f t="shared" si="123"/>
        <v>2.8643689618990901E-4</v>
      </c>
      <c r="AI200" s="98">
        <f t="shared" si="124"/>
        <v>1.5707963267948966</v>
      </c>
      <c r="AJ200" s="98" t="str">
        <f t="shared" si="110"/>
        <v>1+0.0409109618586722i</v>
      </c>
      <c r="AK200" s="98">
        <f t="shared" si="125"/>
        <v>1.0008365035310223</v>
      </c>
      <c r="AL200" s="98">
        <f t="shared" si="126"/>
        <v>4.0888160433680862E-2</v>
      </c>
      <c r="AM200" s="98" t="str">
        <f t="shared" si="111"/>
        <v>1+2.82285636824838i</v>
      </c>
      <c r="AN200" s="98">
        <f t="shared" si="127"/>
        <v>2.9947484161045037</v>
      </c>
      <c r="AO200" s="98">
        <f t="shared" si="128"/>
        <v>1.2303393589273177</v>
      </c>
      <c r="AP200" s="168" t="str">
        <f t="shared" si="129"/>
        <v>-0.355165459229392+0.142411858470243i</v>
      </c>
      <c r="AQ200" s="98">
        <f t="shared" si="130"/>
        <v>-8.3438879850112215</v>
      </c>
      <c r="AR200" s="169">
        <f t="shared" si="131"/>
        <v>158.15053361046293</v>
      </c>
      <c r="AS200" s="168" t="str">
        <f t="shared" si="132"/>
        <v>1.14470755046452+3.76169019319013i</v>
      </c>
      <c r="AT200" s="190">
        <f t="shared" si="133"/>
        <v>11.892282679358171</v>
      </c>
      <c r="AU200" s="169">
        <f t="shared" si="134"/>
        <v>73.074643254226487</v>
      </c>
      <c r="AV200" s="225"/>
      <c r="AX200">
        <f t="shared" si="135"/>
        <v>0</v>
      </c>
      <c r="AY200">
        <f t="shared" si="136"/>
        <v>0</v>
      </c>
    </row>
    <row r="201" spans="14:51" x14ac:dyDescent="0.3">
      <c r="N201" s="170">
        <v>83</v>
      </c>
      <c r="O201" s="199">
        <f t="shared" si="137"/>
        <v>676.08297539198213</v>
      </c>
      <c r="P201" s="189" t="str">
        <f t="shared" si="103"/>
        <v>108.75</v>
      </c>
      <c r="Q201" s="160" t="str">
        <f t="shared" si="104"/>
        <v>1+10.7813088190047i</v>
      </c>
      <c r="R201" s="160">
        <f t="shared" si="112"/>
        <v>10.827586058339527</v>
      </c>
      <c r="S201" s="160">
        <f t="shared" si="113"/>
        <v>1.4783078343859517</v>
      </c>
      <c r="T201" s="160" t="str">
        <f t="shared" si="105"/>
        <v>1+0.000399307734037214i</v>
      </c>
      <c r="U201" s="160">
        <f t="shared" si="114"/>
        <v>1.0000000797233302</v>
      </c>
      <c r="V201" s="160">
        <f t="shared" si="115"/>
        <v>3.9930771281445368E-4</v>
      </c>
      <c r="W201" s="98" t="str">
        <f t="shared" si="106"/>
        <v>1-0.00317180611433816i</v>
      </c>
      <c r="X201" s="160">
        <f t="shared" si="116"/>
        <v>1.0000050301643622</v>
      </c>
      <c r="Y201" s="160">
        <f t="shared" si="117"/>
        <v>-3.1717954779048921E-3</v>
      </c>
      <c r="Z201" s="98" t="str">
        <f t="shared" si="107"/>
        <v>0.999990767060934+0.00611811177636378i</v>
      </c>
      <c r="AA201" s="160">
        <f t="shared" si="118"/>
        <v>1.0000094827044508</v>
      </c>
      <c r="AB201" s="160">
        <f t="shared" si="119"/>
        <v>6.118091928363021E-3</v>
      </c>
      <c r="AC201" s="171" t="str">
        <f t="shared" si="120"/>
        <v>0.838658563619322-10.0086705449998i</v>
      </c>
      <c r="AD201" s="190">
        <f t="shared" si="121"/>
        <v>20.037914446697624</v>
      </c>
      <c r="AE201" s="169">
        <f t="shared" si="122"/>
        <v>-85.210192425299326</v>
      </c>
      <c r="AF201" s="98" t="str">
        <f t="shared" si="108"/>
        <v>-0.0000366300366300366</v>
      </c>
      <c r="AG201" s="98" t="str">
        <f t="shared" si="109"/>
        <v>0.000293108868601784i</v>
      </c>
      <c r="AH201" s="98">
        <f t="shared" si="123"/>
        <v>2.9310886860178402E-4</v>
      </c>
      <c r="AI201" s="98">
        <f t="shared" si="124"/>
        <v>1.5707963267948966</v>
      </c>
      <c r="AJ201" s="98" t="str">
        <f t="shared" si="110"/>
        <v>1+0.0418639005774445i</v>
      </c>
      <c r="AK201" s="98">
        <f t="shared" si="125"/>
        <v>1.0008759094770732</v>
      </c>
      <c r="AL201" s="98">
        <f t="shared" si="126"/>
        <v>4.1839469565029618E-2</v>
      </c>
      <c r="AM201" s="98" t="str">
        <f t="shared" si="111"/>
        <v>1+2.88860913984366i</v>
      </c>
      <c r="AN201" s="98">
        <f t="shared" si="127"/>
        <v>3.0568059740173772</v>
      </c>
      <c r="AO201" s="98">
        <f t="shared" si="128"/>
        <v>1.2375220895771308</v>
      </c>
      <c r="AP201" s="168" t="str">
        <f t="shared" si="129"/>
        <v>-0.355137493014442+0.139838195779654i</v>
      </c>
      <c r="AQ201" s="98">
        <f t="shared" si="130"/>
        <v>-8.3660793769887771</v>
      </c>
      <c r="AR201" s="169">
        <f t="shared" si="131"/>
        <v>158.50756776383804</v>
      </c>
      <c r="AS201" s="168" t="str">
        <f t="shared" si="132"/>
        <v>1.10175533138688+3.6717306661704i</v>
      </c>
      <c r="AT201" s="190">
        <f t="shared" si="133"/>
        <v>11.671835069708852</v>
      </c>
      <c r="AU201" s="169">
        <f t="shared" si="134"/>
        <v>73.297375338538714</v>
      </c>
      <c r="AV201" s="225"/>
      <c r="AX201">
        <f t="shared" si="135"/>
        <v>0</v>
      </c>
      <c r="AY201">
        <f t="shared" si="136"/>
        <v>0</v>
      </c>
    </row>
    <row r="202" spans="14:51" x14ac:dyDescent="0.3">
      <c r="N202" s="170">
        <v>84</v>
      </c>
      <c r="O202" s="199">
        <f t="shared" si="137"/>
        <v>691.83097091893671</v>
      </c>
      <c r="P202" s="189" t="str">
        <f t="shared" si="103"/>
        <v>108.75</v>
      </c>
      <c r="Q202" s="160" t="str">
        <f t="shared" si="104"/>
        <v>1+11.0324377621022i</v>
      </c>
      <c r="R202" s="160">
        <f t="shared" si="112"/>
        <v>11.077665953379285</v>
      </c>
      <c r="S202" s="160">
        <f t="shared" si="113"/>
        <v>1.4804015475183869</v>
      </c>
      <c r="T202" s="160" t="str">
        <f t="shared" si="105"/>
        <v>1+0.000408608806003788i</v>
      </c>
      <c r="U202" s="160">
        <f t="shared" si="114"/>
        <v>1.0000000834805747</v>
      </c>
      <c r="V202" s="160">
        <f t="shared" si="115"/>
        <v>4.0860878326319066E-4</v>
      </c>
      <c r="W202" s="98" t="str">
        <f t="shared" si="106"/>
        <v>1-0.00324568696967548i</v>
      </c>
      <c r="X202" s="160">
        <f t="shared" si="116"/>
        <v>1.0000052672280808</v>
      </c>
      <c r="Y202" s="160">
        <f t="shared" si="117"/>
        <v>-3.2456755725351364E-3</v>
      </c>
      <c r="Z202" s="98" t="str">
        <f t="shared" si="107"/>
        <v>0.999990331925922+0.00626062090674341i</v>
      </c>
      <c r="AA202" s="160">
        <f t="shared" si="118"/>
        <v>1.0000099296104281</v>
      </c>
      <c r="AB202" s="160">
        <f t="shared" si="119"/>
        <v>6.2605996392335614E-3</v>
      </c>
      <c r="AC202" s="171" t="str">
        <f t="shared" si="120"/>
        <v>0.797215323704766-9.78458148782822i</v>
      </c>
      <c r="AD202" s="190">
        <f t="shared" si="121"/>
        <v>19.839580243534808</v>
      </c>
      <c r="AE202" s="169">
        <f t="shared" si="122"/>
        <v>-85.342018547210571</v>
      </c>
      <c r="AF202" s="98" t="str">
        <f t="shared" si="108"/>
        <v>-0.0000366300366300366</v>
      </c>
      <c r="AG202" s="98" t="str">
        <f t="shared" si="109"/>
        <v>0.000299936251215546i</v>
      </c>
      <c r="AH202" s="98">
        <f t="shared" si="123"/>
        <v>2.9993625121554597E-4</v>
      </c>
      <c r="AI202" s="98">
        <f t="shared" si="124"/>
        <v>1.5707963267948966</v>
      </c>
      <c r="AJ202" s="98" t="str">
        <f t="shared" si="110"/>
        <v>1+0.0428390360904372i</v>
      </c>
      <c r="AK202" s="98">
        <f t="shared" si="125"/>
        <v>1.0009171709053442</v>
      </c>
      <c r="AL202" s="98">
        <f t="shared" si="126"/>
        <v>4.2812859084377881E-2</v>
      </c>
      <c r="AM202" s="98" t="str">
        <f t="shared" si="111"/>
        <v>1+2.95589349024016i</v>
      </c>
      <c r="AN202" s="98">
        <f t="shared" si="127"/>
        <v>3.1204657225555543</v>
      </c>
      <c r="AO202" s="98">
        <f t="shared" si="128"/>
        <v>1.2445760070710756</v>
      </c>
      <c r="AP202" s="168" t="str">
        <f t="shared" si="129"/>
        <v>-0.35510821351243+0.137338566970556i</v>
      </c>
      <c r="AQ202" s="98">
        <f t="shared" si="130"/>
        <v>-8.387406590131679</v>
      </c>
      <c r="AR202" s="169">
        <f t="shared" si="131"/>
        <v>158.85595635399346</v>
      </c>
      <c r="AS202" s="168" t="str">
        <f t="shared" si="132"/>
        <v>1.06070269055943+3.58407366223405i</v>
      </c>
      <c r="AT202" s="190">
        <f t="shared" si="133"/>
        <v>11.452173653403118</v>
      </c>
      <c r="AU202" s="169">
        <f t="shared" si="134"/>
        <v>73.513937806782806</v>
      </c>
      <c r="AV202" s="225"/>
      <c r="AX202">
        <f t="shared" si="135"/>
        <v>0</v>
      </c>
      <c r="AY202">
        <f t="shared" si="136"/>
        <v>0</v>
      </c>
    </row>
    <row r="203" spans="14:51" x14ac:dyDescent="0.3">
      <c r="N203" s="170">
        <v>85</v>
      </c>
      <c r="O203" s="199">
        <f t="shared" si="137"/>
        <v>707.94578438413873</v>
      </c>
      <c r="P203" s="189" t="str">
        <f t="shared" si="103"/>
        <v>108.75</v>
      </c>
      <c r="Q203" s="160" t="str">
        <f t="shared" si="104"/>
        <v>1+11.2894162497328i</v>
      </c>
      <c r="R203" s="160">
        <f t="shared" si="112"/>
        <v>11.333618983349098</v>
      </c>
      <c r="S203" s="160">
        <f t="shared" si="113"/>
        <v>1.4824483700964095</v>
      </c>
      <c r="T203" s="160" t="str">
        <f t="shared" si="105"/>
        <v>1+0.000418126527767883i</v>
      </c>
      <c r="U203" s="160">
        <f t="shared" si="114"/>
        <v>1.0000000874148929</v>
      </c>
      <c r="V203" s="160">
        <f t="shared" si="115"/>
        <v>4.181265034008941E-4</v>
      </c>
      <c r="W203" s="98" t="str">
        <f t="shared" si="106"/>
        <v>1-0.00332128873120588i</v>
      </c>
      <c r="X203" s="160">
        <f t="shared" si="116"/>
        <v>1.0000055154642078</v>
      </c>
      <c r="Y203" s="160">
        <f t="shared" si="117"/>
        <v>-3.3212765189536155E-3</v>
      </c>
      <c r="Z203" s="98" t="str">
        <f t="shared" si="107"/>
        <v>0.999989876283628+0.00640644950119692i</v>
      </c>
      <c r="AA203" s="160">
        <f t="shared" si="118"/>
        <v>1.0000103975784236</v>
      </c>
      <c r="AB203" s="160">
        <f t="shared" si="119"/>
        <v>6.4064267126564311E-3</v>
      </c>
      <c r="AC203" s="171" t="str">
        <f t="shared" si="120"/>
        <v>0.75760761832303-9.56534474830667i</v>
      </c>
      <c r="AD203" s="190">
        <f t="shared" si="121"/>
        <v>19.641171500197615</v>
      </c>
      <c r="AE203" s="169">
        <f t="shared" si="122"/>
        <v>-85.471434408151737</v>
      </c>
      <c r="AF203" s="98" t="str">
        <f t="shared" si="108"/>
        <v>-0.0000366300366300366</v>
      </c>
      <c r="AG203" s="98" t="str">
        <f t="shared" si="109"/>
        <v>0.000306922663999828i</v>
      </c>
      <c r="AH203" s="98">
        <f t="shared" si="123"/>
        <v>3.0692266399982799E-4</v>
      </c>
      <c r="AI203" s="98">
        <f t="shared" si="124"/>
        <v>1.5707963267948966</v>
      </c>
      <c r="AJ203" s="98" t="str">
        <f t="shared" si="110"/>
        <v>1+0.0438368854274067i</v>
      </c>
      <c r="AK203" s="98">
        <f t="shared" si="125"/>
        <v>1.0009603751018197</v>
      </c>
      <c r="AL203" s="98">
        <f t="shared" si="126"/>
        <v>4.3808837713336747E-2</v>
      </c>
      <c r="AM203" s="98" t="str">
        <f t="shared" si="111"/>
        <v>1+3.02474509449106i</v>
      </c>
      <c r="AN203" s="98">
        <f t="shared" si="127"/>
        <v>3.1857625282885937</v>
      </c>
      <c r="AO203" s="98">
        <f t="shared" si="128"/>
        <v>1.2515020426788457</v>
      </c>
      <c r="AP203" s="168" t="str">
        <f t="shared" si="129"/>
        <v>-0.355077559284145+0.134911638855823i</v>
      </c>
      <c r="AQ203" s="98">
        <f t="shared" si="130"/>
        <v>-8.4079018381832391</v>
      </c>
      <c r="AR203" s="169">
        <f t="shared" si="131"/>
        <v>159.19572359115156</v>
      </c>
      <c r="AS203" s="168" t="str">
        <f t="shared" si="132"/>
        <v>1.02146687220578+3.49864935233776i</v>
      </c>
      <c r="AT203" s="190">
        <f t="shared" si="133"/>
        <v>11.233269662014374</v>
      </c>
      <c r="AU203" s="169">
        <f t="shared" si="134"/>
        <v>73.724289182999755</v>
      </c>
      <c r="AV203" s="225"/>
      <c r="AX203">
        <f t="shared" si="135"/>
        <v>0</v>
      </c>
      <c r="AY203">
        <f t="shared" si="136"/>
        <v>0</v>
      </c>
    </row>
    <row r="204" spans="14:51" x14ac:dyDescent="0.3">
      <c r="N204" s="170">
        <v>86</v>
      </c>
      <c r="O204" s="199">
        <f t="shared" si="137"/>
        <v>724.43596007499025</v>
      </c>
      <c r="P204" s="189" t="str">
        <f t="shared" si="103"/>
        <v>108.75</v>
      </c>
      <c r="Q204" s="160" t="str">
        <f t="shared" si="104"/>
        <v>1+11.552380535292i</v>
      </c>
      <c r="R204" s="160">
        <f t="shared" si="112"/>
        <v>11.595580883776089</v>
      </c>
      <c r="S204" s="160">
        <f t="shared" si="113"/>
        <v>1.4844493187334473</v>
      </c>
      <c r="T204" s="160" t="str">
        <f t="shared" si="105"/>
        <v>1+0.000427865945751559i</v>
      </c>
      <c r="U204" s="160">
        <f t="shared" si="114"/>
        <v>1.0000000915346297</v>
      </c>
      <c r="V204" s="160">
        <f t="shared" si="115"/>
        <v>4.278659196418601E-4</v>
      </c>
      <c r="W204" s="98" t="str">
        <f t="shared" si="106"/>
        <v>1-0.00339865148398402i</v>
      </c>
      <c r="X204" s="160">
        <f t="shared" si="116"/>
        <v>1.0000057753992773</v>
      </c>
      <c r="Y204" s="160">
        <f t="shared" si="117"/>
        <v>-3.3986383983240398E-3</v>
      </c>
      <c r="Z204" s="98" t="str">
        <f t="shared" si="107"/>
        <v>0.999989399167575+0.00655567487997534i</v>
      </c>
      <c r="AA204" s="160">
        <f t="shared" si="118"/>
        <v>1.0000108876010598</v>
      </c>
      <c r="AB204" s="160">
        <f t="shared" si="119"/>
        <v>6.555650461621992E-3</v>
      </c>
      <c r="AC204" s="171" t="str">
        <f t="shared" si="120"/>
        <v>0.719755420950603-9.35086613877275i</v>
      </c>
      <c r="AD204" s="190">
        <f t="shared" si="121"/>
        <v>19.442691511561051</v>
      </c>
      <c r="AE204" s="169">
        <f t="shared" si="122"/>
        <v>-85.598504692832904</v>
      </c>
      <c r="AF204" s="98" t="str">
        <f t="shared" si="108"/>
        <v>-0.0000366300366300366</v>
      </c>
      <c r="AG204" s="98" t="str">
        <f t="shared" si="109"/>
        <v>0.000314071811243164i</v>
      </c>
      <c r="AH204" s="98">
        <f t="shared" si="123"/>
        <v>3.1407181124316398E-4</v>
      </c>
      <c r="AI204" s="98">
        <f t="shared" si="124"/>
        <v>1.5707963267948966</v>
      </c>
      <c r="AJ204" s="98" t="str">
        <f t="shared" si="110"/>
        <v>1+0.0448579776612796i</v>
      </c>
      <c r="AK204" s="98">
        <f t="shared" si="125"/>
        <v>1.0010056134507239</v>
      </c>
      <c r="AL204" s="98">
        <f t="shared" si="126"/>
        <v>4.4827925624582432E-2</v>
      </c>
      <c r="AM204" s="98" t="str">
        <f t="shared" si="111"/>
        <v>1+3.09520045862828i</v>
      </c>
      <c r="AN204" s="98">
        <f t="shared" si="127"/>
        <v>3.2527320638338342</v>
      </c>
      <c r="AO204" s="98">
        <f t="shared" si="128"/>
        <v>1.2583012098534172</v>
      </c>
      <c r="AP204" s="168" t="str">
        <f t="shared" si="129"/>
        <v>-0.355045466038453+0.132556116237272i</v>
      </c>
      <c r="AQ204" s="98">
        <f t="shared" si="130"/>
        <v>-8.4275965659372591</v>
      </c>
      <c r="AR204" s="169">
        <f t="shared" si="131"/>
        <v>159.52689773819125</v>
      </c>
      <c r="AS204" s="168" t="str">
        <f t="shared" si="132"/>
        <v>0.983968599945222+3.4153906093457i</v>
      </c>
      <c r="AT204" s="190">
        <f t="shared" si="133"/>
        <v>11.015094945623803</v>
      </c>
      <c r="AU204" s="169">
        <f t="shared" si="134"/>
        <v>73.928393045358362</v>
      </c>
      <c r="AV204" s="225"/>
      <c r="AX204">
        <f t="shared" si="135"/>
        <v>0</v>
      </c>
      <c r="AY204">
        <f t="shared" si="136"/>
        <v>0</v>
      </c>
    </row>
    <row r="205" spans="14:51" x14ac:dyDescent="0.3">
      <c r="N205" s="170">
        <v>87</v>
      </c>
      <c r="O205" s="199">
        <f t="shared" si="137"/>
        <v>741.31024130091828</v>
      </c>
      <c r="P205" s="189" t="str">
        <f t="shared" si="103"/>
        <v>108.75</v>
      </c>
      <c r="Q205" s="160" t="str">
        <f t="shared" si="104"/>
        <v>1+11.8214700459249i</v>
      </c>
      <c r="R205" s="160">
        <f t="shared" si="112"/>
        <v>11.863690574467105</v>
      </c>
      <c r="S205" s="160">
        <f t="shared" si="113"/>
        <v>1.486405390232306</v>
      </c>
      <c r="T205" s="160" t="str">
        <f t="shared" si="105"/>
        <v>1+0.000437832223923147i</v>
      </c>
      <c r="U205" s="160">
        <f t="shared" si="114"/>
        <v>1.0000000958485236</v>
      </c>
      <c r="V205" s="160">
        <f t="shared" si="115"/>
        <v>4.3783219594610069E-4</v>
      </c>
      <c r="W205" s="98" t="str">
        <f t="shared" si="106"/>
        <v>1-0.00347781624676543i</v>
      </c>
      <c r="X205" s="160">
        <f t="shared" si="116"/>
        <v>1.0000060475846364</v>
      </c>
      <c r="Y205" s="160">
        <f t="shared" si="117"/>
        <v>-3.4778022252327191E-3</v>
      </c>
      <c r="Z205" s="98" t="str">
        <f t="shared" si="107"/>
        <v>0.999988899565734+0.00670837616434973i</v>
      </c>
      <c r="AA205" s="160">
        <f t="shared" si="118"/>
        <v>1.0000114007177368</v>
      </c>
      <c r="AB205" s="160">
        <f t="shared" si="119"/>
        <v>6.7083499996213906E-3</v>
      </c>
      <c r="AC205" s="171" t="str">
        <f t="shared" si="120"/>
        <v>0.683582083167875-9.14105255942802i</v>
      </c>
      <c r="AD205" s="190">
        <f t="shared" si="121"/>
        <v>19.244143428382635</v>
      </c>
      <c r="AE205" s="169">
        <f t="shared" si="122"/>
        <v>-85.723293100806572</v>
      </c>
      <c r="AF205" s="98" t="str">
        <f t="shared" si="108"/>
        <v>-0.0000366300366300366</v>
      </c>
      <c r="AG205" s="98" t="str">
        <f t="shared" si="109"/>
        <v>0.000321387483518054i</v>
      </c>
      <c r="AH205" s="98">
        <f t="shared" si="123"/>
        <v>3.2138748351805401E-4</v>
      </c>
      <c r="AI205" s="98">
        <f t="shared" si="124"/>
        <v>1.5707963267948966</v>
      </c>
      <c r="AJ205" s="98" t="str">
        <f t="shared" si="110"/>
        <v>1+0.045902854188674i</v>
      </c>
      <c r="AK205" s="98">
        <f t="shared" si="125"/>
        <v>1.0010529816261808</v>
      </c>
      <c r="AL205" s="98">
        <f t="shared" si="126"/>
        <v>4.5870654680284513E-2</v>
      </c>
      <c r="AM205" s="98" t="str">
        <f t="shared" si="111"/>
        <v>1+3.1672969390185i</v>
      </c>
      <c r="AN205" s="98">
        <f t="shared" si="127"/>
        <v>3.3214108297402714</v>
      </c>
      <c r="AO205" s="98">
        <f t="shared" si="128"/>
        <v>1.2649745982083567</v>
      </c>
      <c r="AP205" s="168" t="str">
        <f t="shared" si="129"/>
        <v>-0.35501186650208+0.130270741179453i</v>
      </c>
      <c r="AQ205" s="98">
        <f t="shared" si="130"/>
        <v>-8.446521445262853</v>
      </c>
      <c r="AR205" s="169">
        <f t="shared" si="131"/>
        <v>159.84951075191364</v>
      </c>
      <c r="AS205" s="168" t="str">
        <f t="shared" si="132"/>
        <v>0.948131940824217+3.33423287554743i</v>
      </c>
      <c r="AT205" s="190">
        <f t="shared" si="133"/>
        <v>10.797621983119782</v>
      </c>
      <c r="AU205" s="169">
        <f t="shared" si="134"/>
        <v>74.126217651107055</v>
      </c>
      <c r="AV205" s="225"/>
      <c r="AX205">
        <f t="shared" si="135"/>
        <v>0</v>
      </c>
      <c r="AY205">
        <f t="shared" si="136"/>
        <v>0</v>
      </c>
    </row>
    <row r="206" spans="14:51" x14ac:dyDescent="0.3">
      <c r="N206" s="170">
        <v>88</v>
      </c>
      <c r="O206" s="199">
        <f t="shared" si="137"/>
        <v>758.57757502918378</v>
      </c>
      <c r="P206" s="189" t="str">
        <f t="shared" si="103"/>
        <v>108.75</v>
      </c>
      <c r="Q206" s="160" t="str">
        <f t="shared" si="104"/>
        <v>1+12.0968274564518i</v>
      </c>
      <c r="R206" s="160">
        <f t="shared" si="112"/>
        <v>12.138090233276657</v>
      </c>
      <c r="S206" s="160">
        <f t="shared" si="113"/>
        <v>1.4883175618199216</v>
      </c>
      <c r="T206" s="160" t="str">
        <f t="shared" si="105"/>
        <v>1+0.000448030646535254i</v>
      </c>
      <c r="U206" s="160">
        <f t="shared" si="114"/>
        <v>1.0000001003657251</v>
      </c>
      <c r="V206" s="160">
        <f t="shared" si="115"/>
        <v>4.4803061655730898E-4</v>
      </c>
      <c r="W206" s="98" t="str">
        <f t="shared" si="106"/>
        <v>1-0.00355882499375521i</v>
      </c>
      <c r="X206" s="160">
        <f t="shared" si="116"/>
        <v>1.0000063325976172</v>
      </c>
      <c r="Y206" s="160">
        <f t="shared" si="117"/>
        <v>-3.5588099694173598E-3</v>
      </c>
      <c r="Z206" s="98" t="str">
        <f t="shared" si="107"/>
        <v>0.999988376418385+0.00686463431856232i</v>
      </c>
      <c r="AA206" s="160">
        <f t="shared" si="118"/>
        <v>1.0000119380168444</v>
      </c>
      <c r="AB206" s="160">
        <f t="shared" si="119"/>
        <v>6.8646062825605111E-3</v>
      </c>
      <c r="AC206" s="171" t="str">
        <f t="shared" si="120"/>
        <v>0.649014201817319-8.93581204078515i</v>
      </c>
      <c r="AD206" s="190">
        <f t="shared" si="121"/>
        <v>19.045530263378929</v>
      </c>
      <c r="AE206" s="169">
        <f t="shared" si="122"/>
        <v>-85.845862363407491</v>
      </c>
      <c r="AF206" s="98" t="str">
        <f t="shared" si="108"/>
        <v>-0.0000366300366300366</v>
      </c>
      <c r="AG206" s="98" t="str">
        <f t="shared" si="109"/>
        <v>0.000328873559690771i</v>
      </c>
      <c r="AH206" s="98">
        <f t="shared" si="123"/>
        <v>3.2887355969077098E-4</v>
      </c>
      <c r="AI206" s="98">
        <f t="shared" si="124"/>
        <v>1.5707963267948966</v>
      </c>
      <c r="AJ206" s="98" t="str">
        <f t="shared" si="110"/>
        <v>1+0.0469720690169554i</v>
      </c>
      <c r="AK206" s="98">
        <f t="shared" si="125"/>
        <v>1.0011025797927671</v>
      </c>
      <c r="AL206" s="98">
        <f t="shared" si="126"/>
        <v>4.6937568674089249E-2</v>
      </c>
      <c r="AM206" s="98" t="str">
        <f t="shared" si="111"/>
        <v>1+3.24107276216991i</v>
      </c>
      <c r="AN206" s="98">
        <f t="shared" si="127"/>
        <v>3.391836176716041</v>
      </c>
      <c r="AO206" s="98">
        <f t="shared" si="128"/>
        <v>1.271523367678965</v>
      </c>
      <c r="AP206" s="168" t="str">
        <f t="shared" si="129"/>
        <v>-0.354976690283637+0.128054292300437i</v>
      </c>
      <c r="AQ206" s="98">
        <f t="shared" si="130"/>
        <v>-8.4647063738469566</v>
      </c>
      <c r="AR206" s="169">
        <f t="shared" si="131"/>
        <v>160.16359793463505</v>
      </c>
      <c r="AS206" s="168" t="str">
        <f t="shared" si="132"/>
        <v>0.913884173704278+3.25511403754123i</v>
      </c>
      <c r="AT206" s="190">
        <f t="shared" si="133"/>
        <v>10.580823889531965</v>
      </c>
      <c r="AU206" s="169">
        <f t="shared" si="134"/>
        <v>74.317735571227544</v>
      </c>
      <c r="AV206" s="225"/>
      <c r="AX206">
        <f t="shared" si="135"/>
        <v>0</v>
      </c>
      <c r="AY206">
        <f t="shared" si="136"/>
        <v>0</v>
      </c>
    </row>
    <row r="207" spans="14:51" x14ac:dyDescent="0.3">
      <c r="N207" s="170">
        <v>89</v>
      </c>
      <c r="O207" s="199">
        <f t="shared" si="137"/>
        <v>776.24711662869231</v>
      </c>
      <c r="P207" s="189" t="str">
        <f t="shared" si="103"/>
        <v>108.75</v>
      </c>
      <c r="Q207" s="160" t="str">
        <f t="shared" si="104"/>
        <v>1+12.3785987650166i</v>
      </c>
      <c r="R207" s="160">
        <f t="shared" si="112"/>
        <v>12.418925371595988</v>
      </c>
      <c r="S207" s="160">
        <f t="shared" si="113"/>
        <v>1.490186791390554</v>
      </c>
      <c r="T207" s="160" t="str">
        <f t="shared" si="105"/>
        <v>1+0.000458466620926542i</v>
      </c>
      <c r="U207" s="160">
        <f t="shared" si="114"/>
        <v>1.0000001050958158</v>
      </c>
      <c r="V207" s="160">
        <f t="shared" si="115"/>
        <v>4.5846658880459534E-4</v>
      </c>
      <c r="W207" s="98" t="str">
        <f t="shared" si="106"/>
        <v>1-0.00364172067686331i</v>
      </c>
      <c r="X207" s="160">
        <f t="shared" si="116"/>
        <v>1.0000066310427589</v>
      </c>
      <c r="Y207" s="160">
        <f t="shared" si="117"/>
        <v>-3.6417045780010207E-3</v>
      </c>
      <c r="Z207" s="98" t="str">
        <f t="shared" si="107"/>
        <v>0.99998782861586+0.0070245321927548i</v>
      </c>
      <c r="AA207" s="160">
        <f t="shared" si="118"/>
        <v>1.0000125006380618</v>
      </c>
      <c r="AB207" s="160">
        <f t="shared" si="119"/>
        <v>7.0245021516485368E-3</v>
      </c>
      <c r="AC207" s="171" t="str">
        <f t="shared" si="120"/>
        <v>0.615981490512946-8.73505378100704i</v>
      </c>
      <c r="AD207" s="190">
        <f t="shared" si="121"/>
        <v>18.846854897060112</v>
      </c>
      <c r="AE207" s="169">
        <f t="shared" si="122"/>
        <v>-85.966274261257482</v>
      </c>
      <c r="AF207" s="98" t="str">
        <f t="shared" si="108"/>
        <v>-0.0000366300366300366</v>
      </c>
      <c r="AG207" s="98" t="str">
        <f t="shared" si="109"/>
        <v>0.000336534008977992i</v>
      </c>
      <c r="AH207" s="98">
        <f t="shared" si="123"/>
        <v>3.36534008977992E-4</v>
      </c>
      <c r="AI207" s="98">
        <f t="shared" si="124"/>
        <v>1.5707963267948966</v>
      </c>
      <c r="AJ207" s="98" t="str">
        <f t="shared" si="110"/>
        <v>1+0.0480661890579784i</v>
      </c>
      <c r="AK207" s="98">
        <f t="shared" si="125"/>
        <v>1.0011545128153583</v>
      </c>
      <c r="AL207" s="98">
        <f t="shared" si="126"/>
        <v>4.8029223576599653E-2</v>
      </c>
      <c r="AM207" s="98" t="str">
        <f t="shared" si="111"/>
        <v>1+3.3165670450005i</v>
      </c>
      <c r="AN207" s="98">
        <f t="shared" si="127"/>
        <v>3.4640463282097351</v>
      </c>
      <c r="AO207" s="98">
        <f t="shared" si="128"/>
        <v>1.2779487428766105</v>
      </c>
      <c r="AP207" s="168" t="str">
        <f t="shared" si="129"/>
        <v>-0.354939863731694+0.125905584079015i</v>
      </c>
      <c r="AQ207" s="98">
        <f t="shared" si="130"/>
        <v>-8.4821804764568114</v>
      </c>
      <c r="AR207" s="169">
        <f t="shared" si="131"/>
        <v>160.46919759664956</v>
      </c>
      <c r="AS207" s="168" t="str">
        <f t="shared" si="132"/>
        <v>0.881155661955389+3.17797430806455i</v>
      </c>
      <c r="AT207" s="190">
        <f t="shared" si="133"/>
        <v>10.364674420603293</v>
      </c>
      <c r="AU207" s="169">
        <f t="shared" si="134"/>
        <v>74.502923335392083</v>
      </c>
      <c r="AV207" s="225"/>
      <c r="AX207">
        <f t="shared" si="135"/>
        <v>0</v>
      </c>
      <c r="AY207">
        <f t="shared" si="136"/>
        <v>0</v>
      </c>
    </row>
    <row r="208" spans="14:51" x14ac:dyDescent="0.3">
      <c r="N208" s="170">
        <v>90</v>
      </c>
      <c r="O208" s="199">
        <f t="shared" si="137"/>
        <v>794.32823472428208</v>
      </c>
      <c r="P208" s="189" t="str">
        <f t="shared" si="103"/>
        <v>108.75</v>
      </c>
      <c r="Q208" s="160" t="str">
        <f t="shared" si="104"/>
        <v>1+12.6669333704967i</v>
      </c>
      <c r="R208" s="160">
        <f t="shared" si="112"/>
        <v>12.706344911602349</v>
      </c>
      <c r="S208" s="160">
        <f t="shared" si="113"/>
        <v>1.4920140177563681</v>
      </c>
      <c r="T208" s="160" t="str">
        <f t="shared" si="105"/>
        <v>1+0.000469145680388767i</v>
      </c>
      <c r="U208" s="160">
        <f t="shared" si="114"/>
        <v>1.0000001100488287</v>
      </c>
      <c r="V208" s="160">
        <f t="shared" si="115"/>
        <v>4.6914564596948127E-4</v>
      </c>
      <c r="W208" s="98" t="str">
        <f t="shared" si="106"/>
        <v>1-0.00372654724847815i</v>
      </c>
      <c r="X208" s="160">
        <f t="shared" si="116"/>
        <v>1.0000069435530912</v>
      </c>
      <c r="Y208" s="160">
        <f t="shared" si="117"/>
        <v>-3.7265299982428839E-3</v>
      </c>
      <c r="Z208" s="98" t="str">
        <f t="shared" si="107"/>
        <v>0.999987254996198+0.00718815456689655i</v>
      </c>
      <c r="AA208" s="160">
        <f t="shared" si="118"/>
        <v>1.0000130897747832</v>
      </c>
      <c r="AB208" s="160">
        <f t="shared" si="119"/>
        <v>7.188122377283483E-3</v>
      </c>
      <c r="AC208" s="171" t="str">
        <f t="shared" si="120"/>
        <v>0.584416655441087-8.53868817849745i</v>
      </c>
      <c r="AD208" s="190">
        <f t="shared" si="121"/>
        <v>18.648120083333904</v>
      </c>
      <c r="AE208" s="169">
        <f t="shared" si="122"/>
        <v>-86.084589642276072</v>
      </c>
      <c r="AF208" s="98" t="str">
        <f t="shared" si="108"/>
        <v>-0.0000366300366300366</v>
      </c>
      <c r="AG208" s="98" t="str">
        <f t="shared" si="109"/>
        <v>0.000344372893051328i</v>
      </c>
      <c r="AH208" s="98">
        <f t="shared" si="123"/>
        <v>3.44372893051328E-4</v>
      </c>
      <c r="AI208" s="98">
        <f t="shared" si="124"/>
        <v>1.5707963267948966</v>
      </c>
      <c r="AJ208" s="98" t="str">
        <f t="shared" si="110"/>
        <v>1+0.0491857944286712i</v>
      </c>
      <c r="AK208" s="98">
        <f t="shared" si="125"/>
        <v>1.0012088904786951</v>
      </c>
      <c r="AL208" s="98">
        <f t="shared" si="126"/>
        <v>4.9146187784285568E-2</v>
      </c>
      <c r="AM208" s="98" t="str">
        <f t="shared" si="111"/>
        <v>1+3.3938198155783i</v>
      </c>
      <c r="AN208" s="98">
        <f t="shared" si="127"/>
        <v>3.538080403356024</v>
      </c>
      <c r="AO208" s="98">
        <f t="shared" si="128"/>
        <v>1.2842520076435857</v>
      </c>
      <c r="AP208" s="168" t="str">
        <f t="shared" si="129"/>
        <v>-0.354901309786626+0.123823466177752i</v>
      </c>
      <c r="AQ208" s="98">
        <f t="shared" si="130"/>
        <v>-8.4989721085310279</v>
      </c>
      <c r="AR208" s="169">
        <f t="shared" si="131"/>
        <v>160.76635072998317</v>
      </c>
      <c r="AS208" s="168" t="str">
        <f t="shared" si="132"/>
        <v>0.849879730395389+3.10275611437705i</v>
      </c>
      <c r="AT208" s="190">
        <f t="shared" si="133"/>
        <v>10.149147974802876</v>
      </c>
      <c r="AU208" s="169">
        <f t="shared" si="134"/>
        <v>74.681761087707116</v>
      </c>
      <c r="AV208" s="225"/>
      <c r="AX208">
        <f t="shared" si="135"/>
        <v>0</v>
      </c>
      <c r="AY208">
        <f t="shared" si="136"/>
        <v>0</v>
      </c>
    </row>
    <row r="209" spans="14:51" x14ac:dyDescent="0.3">
      <c r="N209" s="170">
        <v>91</v>
      </c>
      <c r="O209" s="199">
        <f t="shared" si="137"/>
        <v>812.83051616409978</v>
      </c>
      <c r="P209" s="189" t="str">
        <f t="shared" si="103"/>
        <v>108.75</v>
      </c>
      <c r="Q209" s="160" t="str">
        <f t="shared" si="104"/>
        <v>1+12.9619841517165i</v>
      </c>
      <c r="R209" s="160">
        <f t="shared" si="112"/>
        <v>13.000501265310877</v>
      </c>
      <c r="S209" s="160">
        <f t="shared" si="113"/>
        <v>1.4938001609044391</v>
      </c>
      <c r="T209" s="160" t="str">
        <f t="shared" si="105"/>
        <v>1+0.000480073487100611i</v>
      </c>
      <c r="U209" s="160">
        <f t="shared" si="114"/>
        <v>1.00000011523527</v>
      </c>
      <c r="V209" s="160">
        <f t="shared" si="115"/>
        <v>4.8007345021968209E-4</v>
      </c>
      <c r="W209" s="98" t="str">
        <f t="shared" si="106"/>
        <v>1-0.00381334968477082i</v>
      </c>
      <c r="X209" s="160">
        <f t="shared" si="116"/>
        <v>1.0000072707914769</v>
      </c>
      <c r="Y209" s="160">
        <f t="shared" si="117"/>
        <v>-3.8133312008179709E-3</v>
      </c>
      <c r="Z209" s="98" t="str">
        <f t="shared" si="107"/>
        <v>0.999986654342674+0.00735558819573613i</v>
      </c>
      <c r="AA209" s="160">
        <f t="shared" si="118"/>
        <v>1.0000137066766435</v>
      </c>
      <c r="AB209" s="160">
        <f t="shared" si="119"/>
        <v>7.3555537039580411E-3</v>
      </c>
      <c r="AC209" s="171" t="str">
        <f t="shared" si="120"/>
        <v>0.55425527538328-8.34662686007474i</v>
      </c>
      <c r="AD209" s="190">
        <f t="shared" si="121"/>
        <v>18.449328454882494</v>
      </c>
      <c r="AE209" s="169">
        <f t="shared" si="122"/>
        <v>-86.200868440144816</v>
      </c>
      <c r="AF209" s="98" t="str">
        <f t="shared" si="108"/>
        <v>-0.0000366300366300366</v>
      </c>
      <c r="AG209" s="98" t="str">
        <f t="shared" si="109"/>
        <v>0.000352394368190873i</v>
      </c>
      <c r="AH209" s="98">
        <f t="shared" si="123"/>
        <v>3.5239436819087299E-4</v>
      </c>
      <c r="AI209" s="98">
        <f t="shared" si="124"/>
        <v>1.5707963267948966</v>
      </c>
      <c r="AJ209" s="98" t="str">
        <f t="shared" si="110"/>
        <v>1+0.0503314787586209i</v>
      </c>
      <c r="AK209" s="98">
        <f t="shared" si="125"/>
        <v>1.00126582771711</v>
      </c>
      <c r="AL209" s="98">
        <f t="shared" si="126"/>
        <v>5.0289042371742233E-2</v>
      </c>
      <c r="AM209" s="98" t="str">
        <f t="shared" si="111"/>
        <v>1+3.47287203434483i</v>
      </c>
      <c r="AN209" s="98">
        <f t="shared" si="127"/>
        <v>3.6139784402973953</v>
      </c>
      <c r="AO209" s="98">
        <f t="shared" si="128"/>
        <v>1.2904344998140866</v>
      </c>
      <c r="AP209" s="168" t="str">
        <f t="shared" si="129"/>
        <v>-0.354860947826018+0.121806822781303i</v>
      </c>
      <c r="AQ209" s="98">
        <f t="shared" si="130"/>
        <v>-8.5151088619121857</v>
      </c>
      <c r="AR209" s="169">
        <f t="shared" si="131"/>
        <v>161.0551006937672</v>
      </c>
      <c r="AS209" s="168" t="str">
        <f t="shared" si="132"/>
        <v>0.819992546406706+3.02940399282044i</v>
      </c>
      <c r="AT209" s="190">
        <f t="shared" si="133"/>
        <v>9.934219592970317</v>
      </c>
      <c r="AU209" s="169">
        <f t="shared" si="134"/>
        <v>74.854232253622399</v>
      </c>
      <c r="AV209" s="225"/>
      <c r="AX209">
        <f t="shared" si="135"/>
        <v>0</v>
      </c>
      <c r="AY209">
        <f t="shared" si="136"/>
        <v>0</v>
      </c>
    </row>
    <row r="210" spans="14:51" x14ac:dyDescent="0.3">
      <c r="N210" s="170">
        <v>92</v>
      </c>
      <c r="O210" s="199">
        <f t="shared" si="137"/>
        <v>831.7637711026714</v>
      </c>
      <c r="P210" s="189" t="str">
        <f t="shared" si="103"/>
        <v>108.75</v>
      </c>
      <c r="Q210" s="160" t="str">
        <f t="shared" si="104"/>
        <v>1+13.2639075485057i</v>
      </c>
      <c r="R210" s="160">
        <f t="shared" si="112"/>
        <v>13.301550415470613</v>
      </c>
      <c r="S210" s="160">
        <f t="shared" si="113"/>
        <v>1.4955461222592801</v>
      </c>
      <c r="T210" s="160" t="str">
        <f t="shared" si="105"/>
        <v>1+0.000491255835129841i</v>
      </c>
      <c r="U210" s="160">
        <f t="shared" si="114"/>
        <v>1.0000001206661404</v>
      </c>
      <c r="V210" s="160">
        <f t="shared" si="115"/>
        <v>4.9125579561121397E-4</v>
      </c>
      <c r="W210" s="98" t="str">
        <f t="shared" si="106"/>
        <v>1-0.003902174009542i</v>
      </c>
      <c r="X210" s="160">
        <f t="shared" si="116"/>
        <v>1.0000076134520182</v>
      </c>
      <c r="Y210" s="160">
        <f t="shared" si="117"/>
        <v>-3.9021542036378289E-3</v>
      </c>
      <c r="Z210" s="98" t="str">
        <f t="shared" si="107"/>
        <v>0.999986025381221+0.00752692185479982i</v>
      </c>
      <c r="AA210" s="160">
        <f t="shared" si="118"/>
        <v>1.000014352652171</v>
      </c>
      <c r="AB210" s="160">
        <f t="shared" si="119"/>
        <v>7.526884896209147E-3</v>
      </c>
      <c r="AC210" s="171" t="str">
        <f t="shared" si="120"/>
        <v>0.525435685886136-8.15878270504914i</v>
      </c>
      <c r="AD210" s="190">
        <f t="shared" si="121"/>
        <v>18.250482528324095</v>
      </c>
      <c r="AE210" s="169">
        <f t="shared" si="122"/>
        <v>-86.31516969317434</v>
      </c>
      <c r="AF210" s="98" t="str">
        <f t="shared" si="108"/>
        <v>-0.0000366300366300366</v>
      </c>
      <c r="AG210" s="98" t="str">
        <f t="shared" si="109"/>
        <v>0.000360602687488925i</v>
      </c>
      <c r="AH210" s="98">
        <f t="shared" si="123"/>
        <v>3.6060268748892502E-4</v>
      </c>
      <c r="AI210" s="98">
        <f t="shared" si="124"/>
        <v>1.5707963267948966</v>
      </c>
      <c r="AJ210" s="98" t="str">
        <f t="shared" si="110"/>
        <v>1+0.0515038495048244i</v>
      </c>
      <c r="AK210" s="98">
        <f t="shared" si="125"/>
        <v>1.0013254448548763</v>
      </c>
      <c r="AL210" s="98">
        <f t="shared" si="126"/>
        <v>5.1458381347206338E-2</v>
      </c>
      <c r="AM210" s="98" t="str">
        <f t="shared" si="111"/>
        <v>1+3.55376561583288i</v>
      </c>
      <c r="AN210" s="98">
        <f t="shared" si="127"/>
        <v>3.6917814198942018</v>
      </c>
      <c r="AO210" s="98">
        <f t="shared" si="128"/>
        <v>1.2964976061852174</v>
      </c>
      <c r="AP210" s="168" t="str">
        <f t="shared" si="129"/>
        <v>-0.354818693503343+0.119854571949418i</v>
      </c>
      <c r="AQ210" s="98">
        <f t="shared" si="130"/>
        <v>-8.5306175725420204</v>
      </c>
      <c r="AR210" s="169">
        <f t="shared" si="131"/>
        <v>161.33549291145761</v>
      </c>
      <c r="AS210" s="168" t="str">
        <f t="shared" si="132"/>
        <v>0.791433005155828+2.95786448920204i</v>
      </c>
      <c r="AT210" s="190">
        <f t="shared" si="133"/>
        <v>9.7198649557820804</v>
      </c>
      <c r="AU210" s="169">
        <f t="shared" si="134"/>
        <v>75.020323218283281</v>
      </c>
      <c r="AV210" s="225"/>
      <c r="AX210">
        <f t="shared" si="135"/>
        <v>0</v>
      </c>
      <c r="AY210">
        <f t="shared" si="136"/>
        <v>0</v>
      </c>
    </row>
    <row r="211" spans="14:51" x14ac:dyDescent="0.3">
      <c r="N211" s="170">
        <v>93</v>
      </c>
      <c r="O211" s="199">
        <f t="shared" si="137"/>
        <v>851.13803820237763</v>
      </c>
      <c r="P211" s="189" t="str">
        <f t="shared" ref="P211:P274" si="138">COMPLEX(Adc,0)</f>
        <v>108.75</v>
      </c>
      <c r="Q211" s="160" t="str">
        <f t="shared" ref="Q211:Q274" si="139">IMSUM(COMPLEX(1,0),IMDIV(COMPLEX(0,2*PI()*O211),COMPLEX(wp_lf,0)))</f>
        <v>1+13.5728636446457i</v>
      </c>
      <c r="R211" s="160">
        <f t="shared" si="112"/>
        <v>13.609651998348266</v>
      </c>
      <c r="S211" s="160">
        <f t="shared" si="113"/>
        <v>1.4972527849500556</v>
      </c>
      <c r="T211" s="160" t="str">
        <f t="shared" ref="T211:T274" si="140">IMSUM(COMPLEX(1,0),IMDIV(COMPLEX(0,2*PI()*O211),COMPLEX(wz_esr,0)))</f>
        <v>1+0.000502698653505396i</v>
      </c>
      <c r="U211" s="160">
        <f t="shared" si="114"/>
        <v>1.0000001263529601</v>
      </c>
      <c r="V211" s="160">
        <f t="shared" si="115"/>
        <v>5.0269861116042445E-4</v>
      </c>
      <c r="W211" s="98" t="str">
        <f t="shared" ref="W211:W274" si="141">IMSUB(COMPLEX(1,0),IMDIV(COMPLEX(0,2*PI()*O211),COMPLEX(wz_rhp,0)))</f>
        <v>1-0.00399306731862443i</v>
      </c>
      <c r="X211" s="160">
        <f t="shared" si="116"/>
        <v>1.0000079722615269</v>
      </c>
      <c r="Y211" s="160">
        <f t="shared" si="117"/>
        <v>-3.993046096224891E-3</v>
      </c>
      <c r="Z211" s="98" t="str">
        <f t="shared" ref="Z211:Z274" si="142">IF(Dc_Mode_Loop="CCM",IMSUM(COMPLEX(1,0),IMDIV(COMPLEX(0,2*PI()*O211),COMPLEX(Q*(wsl/2),0)),IMDIV(IMPOWER(COMPLEX(0,2*PI()*O211),2),IMPOWER(COMPLEX(wsl/2,0),2))),COMPLEX(1,0))</f>
        <v>0.999985366777729+0.00770224638746152i</v>
      </c>
      <c r="AA211" s="160">
        <f t="shared" si="118"/>
        <v>1.0000150290715648</v>
      </c>
      <c r="AB211" s="160">
        <f t="shared" si="119"/>
        <v>7.7022067856354131E-3</v>
      </c>
      <c r="AC211" s="171" t="str">
        <f t="shared" si="120"/>
        <v>0.497898867496204-7.97506986549853i</v>
      </c>
      <c r="AD211" s="190">
        <f t="shared" si="121"/>
        <v>18.051584709163851</v>
      </c>
      <c r="AE211" s="169">
        <f t="shared" si="122"/>
        <v>-86.427551563529093</v>
      </c>
      <c r="AF211" s="98" t="str">
        <f t="shared" ref="AF211:AF274" si="143">COMPLEX(Adc_ea,0)</f>
        <v>-0.0000366300366300366</v>
      </c>
      <c r="AG211" s="98" t="str">
        <f t="shared" ref="AG211:AG274" si="144">COMPLEX(0,2*PI()*O211*wp0_ea)</f>
        <v>0.000369002203105024i</v>
      </c>
      <c r="AH211" s="98">
        <f t="shared" si="123"/>
        <v>3.6900220310502401E-4</v>
      </c>
      <c r="AI211" s="98">
        <f t="shared" si="124"/>
        <v>1.5707963267948966</v>
      </c>
      <c r="AJ211" s="98" t="str">
        <f t="shared" ref="AJ211:AJ274" si="145">IMSUM(COMPLEX(1,0),IMDIV(COMPLEX(0,2*PI()*O211),COMPLEX(wp1_ea,0)))</f>
        <v>1+0.0527035282737695i</v>
      </c>
      <c r="AK211" s="98">
        <f t="shared" si="125"/>
        <v>1.0013878678576569</v>
      </c>
      <c r="AL211" s="98">
        <f t="shared" si="126"/>
        <v>5.2654811911220414E-2</v>
      </c>
      <c r="AM211" s="98" t="str">
        <f t="shared" ref="AM211:AM274" si="146">IMSUM(COMPLEX(1,0),IMDIV(COMPLEX(0,2*PI()*O211),COMPLEX(wz_ea,0)))</f>
        <v>1+3.63654345089009i</v>
      </c>
      <c r="AN211" s="98">
        <f t="shared" si="127"/>
        <v>3.7715312898359472</v>
      </c>
      <c r="AO211" s="98">
        <f t="shared" si="128"/>
        <v>1.3024427577004365</v>
      </c>
      <c r="AP211" s="168" t="str">
        <f t="shared" si="129"/>
        <v>-0.354774458579671+0.117965664984037i</v>
      </c>
      <c r="AQ211" s="98">
        <f t="shared" si="130"/>
        <v>-8.5455243299463</v>
      </c>
      <c r="AR211" s="169">
        <f t="shared" si="131"/>
        <v>161.60757458004707</v>
      </c>
      <c r="AS211" s="168" t="str">
        <f t="shared" si="132"/>
        <v>0.764142618834292+2.88808606466628i</v>
      </c>
      <c r="AT211" s="190">
        <f t="shared" si="133"/>
        <v>9.5060603792175513</v>
      </c>
      <c r="AU211" s="169">
        <f t="shared" si="134"/>
        <v>75.180023016517978</v>
      </c>
      <c r="AV211" s="225"/>
      <c r="AX211">
        <f t="shared" si="135"/>
        <v>0</v>
      </c>
      <c r="AY211">
        <f t="shared" si="136"/>
        <v>0</v>
      </c>
    </row>
    <row r="212" spans="14:51" x14ac:dyDescent="0.3">
      <c r="N212" s="170">
        <v>94</v>
      </c>
      <c r="O212" s="199">
        <f t="shared" si="137"/>
        <v>870.96358995608091</v>
      </c>
      <c r="P212" s="189" t="str">
        <f t="shared" si="138"/>
        <v>108.75</v>
      </c>
      <c r="Q212" s="160" t="str">
        <f t="shared" si="139"/>
        <v>1+13.8890162527481i</v>
      </c>
      <c r="R212" s="160">
        <f t="shared" ref="R212:R275" si="147">IMABS(Q212)</f>
        <v>13.924969388443944</v>
      </c>
      <c r="S212" s="160">
        <f t="shared" ref="S212:S275" si="148">IMARGUMENT(Q212)</f>
        <v>1.4989210140817095</v>
      </c>
      <c r="T212" s="160" t="str">
        <f t="shared" si="140"/>
        <v>1+0.000514408009361042i</v>
      </c>
      <c r="U212" s="160">
        <f t="shared" ref="U212:U275" si="149">IMABS(T212)</f>
        <v>1.0000001323077914</v>
      </c>
      <c r="V212" s="160">
        <f t="shared" ref="V212:V275" si="150">IMARGUMENT(T212)</f>
        <v>5.1440796398758792E-4</v>
      </c>
      <c r="W212" s="98" t="str">
        <f t="shared" si="141"/>
        <v>1-0.00408607780485367i</v>
      </c>
      <c r="X212" s="160">
        <f t="shared" ref="X212:X275" si="151">IMABS(W212)</f>
        <v>1.0000083479810693</v>
      </c>
      <c r="Y212" s="160">
        <f t="shared" ref="Y212:Y275" si="152">IMARGUMENT(W212)</f>
        <v>-4.0860550646531126E-3</v>
      </c>
      <c r="Z212" s="98" t="str">
        <f t="shared" si="142"/>
        <v>0.99998467713521+0.00788165475310911i</v>
      </c>
      <c r="AA212" s="160">
        <f t="shared" ref="AA212:AA275" si="153">IMABS(Z212)</f>
        <v>1.0000157373695964</v>
      </c>
      <c r="AB212" s="160">
        <f t="shared" ref="AB212:AB275" si="154">IMARGUMENT(Z212)</f>
        <v>7.8816123190073237E-3</v>
      </c>
      <c r="AC212" s="171" t="str">
        <f t="shared" ref="AC212:AC275" si="155">(IMDIV(IMPRODUCT(P212,T212,W212),IMPRODUCT(Q212,Z212)))</f>
        <v>0.471588337973604-7.79540378302481i</v>
      </c>
      <c r="AD212" s="190">
        <f t="shared" ref="AD212:AD275" si="156">20*LOG(IMABS(AC212))</f>
        <v>17.852637296543445</v>
      </c>
      <c r="AE212" s="169">
        <f t="shared" ref="AE212:AE275" si="157">(180/PI())*IMARGUMENT(AC212)</f>
        <v>-86.538071356767105</v>
      </c>
      <c r="AF212" s="98" t="str">
        <f t="shared" si="143"/>
        <v>-0.0000366300366300366</v>
      </c>
      <c r="AG212" s="98" t="str">
        <f t="shared" si="144"/>
        <v>0.00037759736857353i</v>
      </c>
      <c r="AH212" s="98">
        <f t="shared" ref="AH212:AH275" si="158">IMABS(AG212)</f>
        <v>3.7759736857353001E-4</v>
      </c>
      <c r="AI212" s="98">
        <f t="shared" ref="AI212:AI275" si="159">IMARGUMENT(AG212)</f>
        <v>1.5707963267948966</v>
      </c>
      <c r="AJ212" s="98" t="str">
        <f t="shared" si="145"/>
        <v>1+0.0539311511510188i</v>
      </c>
      <c r="AK212" s="98">
        <f t="shared" ref="AK212:AK275" si="160">IMABS(AJ212)</f>
        <v>1.0014532285955615</v>
      </c>
      <c r="AL212" s="98">
        <f t="shared" ref="AL212:AL275" si="161">IMARGUMENT(AJ212)</f>
        <v>5.3878954718325843E-2</v>
      </c>
      <c r="AM212" s="98" t="str">
        <f t="shared" si="146"/>
        <v>1+3.72124942942029i</v>
      </c>
      <c r="AN212" s="98">
        <f t="shared" ref="AN212:AN275" si="162">IMABS(AM212)</f>
        <v>3.8532709891676236</v>
      </c>
      <c r="AO212" s="98">
        <f t="shared" ref="AO212:AO275" si="163">IMARGUMENT(AM212)</f>
        <v>1.3082714248465162</v>
      </c>
      <c r="AP212" s="168" t="str">
        <f t="shared" ref="AP212:AP275" si="164">IMPRODUCT(AF212,IMDIV(AM212,IMPRODUCT(AG212,AJ212)))</f>
        <v>-0.354728150748137+0.116139085809881i</v>
      </c>
      <c r="AQ212" s="98">
        <f t="shared" ref="AQ212:AQ275" si="165">20*LOG(IMABS(AP212))</f>
        <v>-8.5598544883448096</v>
      </c>
      <c r="AR212" s="169">
        <f t="shared" ref="AR212:AR275" si="166">(180/PI())*IMARGUMENT(AP212)</f>
        <v>161.87139439133551</v>
      </c>
      <c r="AS212" s="168" t="str">
        <f t="shared" ref="AS212:AS275" si="167">IMPRODUCT(AC212,AP212)</f>
        <v>0.738065409835625+2.82001900673828i</v>
      </c>
      <c r="AT212" s="190">
        <f t="shared" ref="AT212:AT275" si="168">20*LOG(IMABS(AS212))</f>
        <v>9.2927828081986412</v>
      </c>
      <c r="AU212" s="169">
        <f t="shared" ref="AU212:AU275" si="169">(180/PI())*IMARGUMENT(AS212)</f>
        <v>75.333323034568437</v>
      </c>
      <c r="AV212" s="225"/>
      <c r="AX212">
        <f t="shared" ref="AX212:AX275" si="170">SUM((AT213&lt;0)*(AT212&gt;0))*O212</f>
        <v>0</v>
      </c>
      <c r="AY212">
        <f t="shared" ref="AY212:AY275" si="171">IF(AX212&gt;0,AU212,0)</f>
        <v>0</v>
      </c>
    </row>
    <row r="213" spans="14:51" x14ac:dyDescent="0.3">
      <c r="N213" s="170">
        <v>95</v>
      </c>
      <c r="O213" s="199">
        <f t="shared" si="137"/>
        <v>891.25093813374656</v>
      </c>
      <c r="P213" s="189" t="str">
        <f t="shared" si="138"/>
        <v>108.75</v>
      </c>
      <c r="Q213" s="160" t="str">
        <f t="shared" si="139"/>
        <v>1+14.2125330011106i</v>
      </c>
      <c r="R213" s="160">
        <f t="shared" si="147"/>
        <v>14.247669785184449</v>
      </c>
      <c r="S213" s="160">
        <f t="shared" si="148"/>
        <v>1.5005516570092901</v>
      </c>
      <c r="T213" s="160" t="str">
        <f t="shared" si="140"/>
        <v>1+0.000526390111152247i</v>
      </c>
      <c r="U213" s="160">
        <f t="shared" si="149"/>
        <v>1.0000001385432649</v>
      </c>
      <c r="V213" s="160">
        <f t="shared" si="150"/>
        <v>5.2639006253371525E-4</v>
      </c>
      <c r="W213" s="98" t="str">
        <f t="shared" si="141"/>
        <v>1-0.00418125478362069i</v>
      </c>
      <c r="X213" s="160">
        <f t="shared" si="151"/>
        <v>1.0000087414075767</v>
      </c>
      <c r="Y213" s="160">
        <f t="shared" si="152"/>
        <v>-4.1812304170682916E-3</v>
      </c>
      <c r="Z213" s="98" t="str">
        <f t="shared" si="142"/>
        <v>0.99998395499084+0.00806524207643287i</v>
      </c>
      <c r="AA213" s="160">
        <f t="shared" si="153"/>
        <v>1.0000164790486572</v>
      </c>
      <c r="AB213" s="160">
        <f t="shared" si="154"/>
        <v>8.0651966074953875E-3</v>
      </c>
      <c r="AC213" s="171" t="str">
        <f t="shared" si="155"/>
        <v>0.446450048393692-7.61970120225194i</v>
      </c>
      <c r="AD213" s="190">
        <f t="shared" si="156"/>
        <v>17.653642487794293</v>
      </c>
      <c r="AE213" s="169">
        <f t="shared" si="157"/>
        <v>-86.646785541656257</v>
      </c>
      <c r="AF213" s="98" t="str">
        <f t="shared" si="143"/>
        <v>-0.0000366300366300366</v>
      </c>
      <c r="AG213" s="98" t="str">
        <f t="shared" si="144"/>
        <v>0.000386392741164947i</v>
      </c>
      <c r="AH213" s="98">
        <f t="shared" si="158"/>
        <v>3.8639274116494701E-4</v>
      </c>
      <c r="AI213" s="98">
        <f t="shared" si="159"/>
        <v>1.5707963267948966</v>
      </c>
      <c r="AJ213" s="98" t="str">
        <f t="shared" si="145"/>
        <v>1+0.0551873690384718i</v>
      </c>
      <c r="AK213" s="98">
        <f t="shared" si="160"/>
        <v>1.0015216651183281</v>
      </c>
      <c r="AL213" s="98">
        <f t="shared" si="161"/>
        <v>5.513144414164714E-2</v>
      </c>
      <c r="AM213" s="98" t="str">
        <f t="shared" si="146"/>
        <v>1+3.80792846365454i</v>
      </c>
      <c r="AN213" s="98">
        <f t="shared" si="162"/>
        <v>3.937044473245181</v>
      </c>
      <c r="AO213" s="98">
        <f t="shared" si="163"/>
        <v>1.3139851132638358</v>
      </c>
      <c r="AP213" s="168" t="str">
        <f t="shared" si="164"/>
        <v>-0.354679673450885+0.114373850367919i</v>
      </c>
      <c r="AQ213" s="98">
        <f t="shared" si="165"/>
        <v>-8.5736326792301085</v>
      </c>
      <c r="AR213" s="169">
        <f t="shared" si="166"/>
        <v>162.12700226525959</v>
      </c>
      <c r="AS213" s="168" t="str">
        <f t="shared" si="167"/>
        <v>0.713147807778209+2.75361534523976i</v>
      </c>
      <c r="AT213" s="190">
        <f t="shared" si="168"/>
        <v>9.0800098085641743</v>
      </c>
      <c r="AU213" s="169">
        <f t="shared" si="169"/>
        <v>75.480216723603334</v>
      </c>
      <c r="AV213" s="225"/>
      <c r="AX213">
        <f t="shared" si="170"/>
        <v>0</v>
      </c>
      <c r="AY213">
        <f t="shared" si="171"/>
        <v>0</v>
      </c>
    </row>
    <row r="214" spans="14:51" x14ac:dyDescent="0.3">
      <c r="N214" s="170">
        <v>96</v>
      </c>
      <c r="O214" s="199">
        <f t="shared" si="137"/>
        <v>912.01083935590987</v>
      </c>
      <c r="P214" s="189" t="str">
        <f t="shared" si="138"/>
        <v>108.75</v>
      </c>
      <c r="Q214" s="160" t="str">
        <f t="shared" si="139"/>
        <v>1+14.5435854225954i</v>
      </c>
      <c r="R214" s="160">
        <f t="shared" si="147"/>
        <v>14.577924301639429</v>
      </c>
      <c r="S214" s="160">
        <f t="shared" si="148"/>
        <v>1.5021455436148061</v>
      </c>
      <c r="T214" s="160" t="str">
        <f t="shared" si="140"/>
        <v>1+0.000538651311947981i</v>
      </c>
      <c r="U214" s="160">
        <f t="shared" si="149"/>
        <v>1.0000001450726075</v>
      </c>
      <c r="V214" s="160">
        <f t="shared" si="150"/>
        <v>5.3865125985228608E-4</v>
      </c>
      <c r="W214" s="98" t="str">
        <f t="shared" si="141"/>
        <v>1-0.00427864871901943i</v>
      </c>
      <c r="X214" s="160">
        <f t="shared" si="151"/>
        <v>1.0000091533755382</v>
      </c>
      <c r="Y214" s="160">
        <f t="shared" si="152"/>
        <v>-4.2786226098010405E-3</v>
      </c>
      <c r="Z214" s="98" t="str">
        <f t="shared" si="142"/>
        <v>0.999983198812855+0.00825310569786161i</v>
      </c>
      <c r="AA214" s="160">
        <f t="shared" si="153"/>
        <v>1.0000172556819455</v>
      </c>
      <c r="AB214" s="160">
        <f t="shared" si="154"/>
        <v>8.2530569770417426E-3</v>
      </c>
      <c r="AC214" s="171" t="str">
        <f t="shared" si="155"/>
        <v>0.422432283043264-7.44788018131567i</v>
      </c>
      <c r="AD214" s="190">
        <f t="shared" si="156"/>
        <v>17.454602382804289</v>
      </c>
      <c r="AE214" s="169">
        <f t="shared" si="157"/>
        <v>-86.753749770230513</v>
      </c>
      <c r="AF214" s="98" t="str">
        <f t="shared" si="143"/>
        <v>-0.0000366300366300366</v>
      </c>
      <c r="AG214" s="98" t="str">
        <f t="shared" si="144"/>
        <v>0.000395392984302241i</v>
      </c>
      <c r="AH214" s="98">
        <f t="shared" si="158"/>
        <v>3.95392984302241E-4</v>
      </c>
      <c r="AI214" s="98">
        <f t="shared" si="159"/>
        <v>1.5707963267948966</v>
      </c>
      <c r="AJ214" s="98" t="str">
        <f t="shared" si="145"/>
        <v>1+0.0564728479994799i</v>
      </c>
      <c r="AK214" s="98">
        <f t="shared" si="160"/>
        <v>1.0015933219431787</v>
      </c>
      <c r="AL214" s="98">
        <f t="shared" si="161"/>
        <v>5.6412928540208317E-2</v>
      </c>
      <c r="AM214" s="98" t="str">
        <f t="shared" si="146"/>
        <v>1+3.8966265119641i</v>
      </c>
      <c r="AN214" s="98">
        <f t="shared" si="162"/>
        <v>4.0228967391348123</v>
      </c>
      <c r="AO214" s="98">
        <f t="shared" si="163"/>
        <v>1.319585359568757</v>
      </c>
      <c r="AP214" s="168" t="str">
        <f t="shared" si="164"/>
        <v>-0.354628925688208+0.112669006021096i</v>
      </c>
      <c r="AQ214" s="98">
        <f t="shared" si="165"/>
        <v>-8.5868828252668337</v>
      </c>
      <c r="AR214" s="169">
        <f t="shared" si="166"/>
        <v>162.37444909521591</v>
      </c>
      <c r="AS214" s="168" t="str">
        <f t="shared" si="167"/>
        <v>0.689338550281407+2.68882877279618i</v>
      </c>
      <c r="AT214" s="190">
        <f t="shared" si="168"/>
        <v>8.8677195575374608</v>
      </c>
      <c r="AU214" s="169">
        <f t="shared" si="169"/>
        <v>75.620699324985438</v>
      </c>
      <c r="AV214" s="225"/>
      <c r="AX214">
        <f t="shared" si="170"/>
        <v>0</v>
      </c>
      <c r="AY214">
        <f t="shared" si="171"/>
        <v>0</v>
      </c>
    </row>
    <row r="215" spans="14:51" x14ac:dyDescent="0.3">
      <c r="N215" s="170">
        <v>97</v>
      </c>
      <c r="O215" s="199">
        <f t="shared" si="137"/>
        <v>933.25430079699106</v>
      </c>
      <c r="P215" s="189" t="str">
        <f t="shared" si="138"/>
        <v>108.75</v>
      </c>
      <c r="Q215" s="160" t="str">
        <f t="shared" si="139"/>
        <v>1+14.8823490455784i</v>
      </c>
      <c r="R215" s="160">
        <f t="shared" si="147"/>
        <v>14.915908055308879</v>
      </c>
      <c r="S215" s="160">
        <f t="shared" si="148"/>
        <v>1.5037034865860091</v>
      </c>
      <c r="T215" s="160" t="str">
        <f t="shared" si="140"/>
        <v>1+0.000551198112799203i</v>
      </c>
      <c r="U215" s="160">
        <f t="shared" si="149"/>
        <v>1.0000001519096682</v>
      </c>
      <c r="V215" s="160">
        <f t="shared" si="150"/>
        <v>5.5119805697766058E-4</v>
      </c>
      <c r="W215" s="98" t="str">
        <f t="shared" si="141"/>
        <v>1-0.00437831125060361i</v>
      </c>
      <c r="X215" s="160">
        <f t="shared" si="151"/>
        <v>1.0000095847587698</v>
      </c>
      <c r="Y215" s="160">
        <f t="shared" si="152"/>
        <v>-4.3782832740865427E-3</v>
      </c>
      <c r="Z215" s="98" t="str">
        <f t="shared" si="142"/>
        <v>0.999982406997299+0.00844534522517415i</v>
      </c>
      <c r="AA215" s="160">
        <f t="shared" si="153"/>
        <v>1.0000180689167992</v>
      </c>
      <c r="AB215" s="160">
        <f t="shared" si="154"/>
        <v>8.4452930199025149E-3</v>
      </c>
      <c r="AC215" s="171" t="str">
        <f t="shared" si="155"/>
        <v>0.399485563014895-7.27986009957483i</v>
      </c>
      <c r="AD215" s="190">
        <f t="shared" si="156"/>
        <v>17.25551898820266</v>
      </c>
      <c r="AE215" s="169">
        <f t="shared" si="157"/>
        <v>-86.859018898054074</v>
      </c>
      <c r="AF215" s="98" t="str">
        <f t="shared" si="143"/>
        <v>-0.0000366300366300366</v>
      </c>
      <c r="AG215" s="98" t="str">
        <f t="shared" si="144"/>
        <v>0.000404602870033457i</v>
      </c>
      <c r="AH215" s="98">
        <f t="shared" si="158"/>
        <v>4.0460287003345701E-4</v>
      </c>
      <c r="AI215" s="98">
        <f t="shared" si="159"/>
        <v>1.5707963267948966</v>
      </c>
      <c r="AJ215" s="98" t="str">
        <f t="shared" si="145"/>
        <v>1+0.057788269612004i</v>
      </c>
      <c r="AK215" s="98">
        <f t="shared" si="160"/>
        <v>1.0016683503559198</v>
      </c>
      <c r="AL215" s="98">
        <f t="shared" si="161"/>
        <v>5.7724070528813967E-2</v>
      </c>
      <c r="AM215" s="98" t="str">
        <f t="shared" si="146"/>
        <v>1+3.98739060322826i</v>
      </c>
      <c r="AN215" s="98">
        <f t="shared" si="162"/>
        <v>4.1108738514716094</v>
      </c>
      <c r="AO215" s="98">
        <f t="shared" si="163"/>
        <v>1.3250737273858813</v>
      </c>
      <c r="AP215" s="168" t="str">
        <f t="shared" si="164"/>
        <v>-0.354575801819595+0.111023630971681i</v>
      </c>
      <c r="AQ215" s="98">
        <f t="shared" si="165"/>
        <v>-8.5996281553719882</v>
      </c>
      <c r="AR215" s="169">
        <f t="shared" si="166"/>
        <v>162.61378650526308</v>
      </c>
      <c r="AS215" s="168" t="str">
        <f t="shared" si="167"/>
        <v>0.666588587399302+2.6256145696679i</v>
      </c>
      <c r="AT215" s="190">
        <f t="shared" si="168"/>
        <v>8.6558908328306643</v>
      </c>
      <c r="AU215" s="169">
        <f t="shared" si="169"/>
        <v>75.75476760720899</v>
      </c>
      <c r="AV215" s="225"/>
      <c r="AX215">
        <f t="shared" si="170"/>
        <v>0</v>
      </c>
      <c r="AY215">
        <f t="shared" si="171"/>
        <v>0</v>
      </c>
    </row>
    <row r="216" spans="14:51" x14ac:dyDescent="0.3">
      <c r="N216" s="170">
        <v>98</v>
      </c>
      <c r="O216" s="199">
        <f t="shared" si="137"/>
        <v>954.99258602143675</v>
      </c>
      <c r="P216" s="189" t="str">
        <f t="shared" si="138"/>
        <v>108.75</v>
      </c>
      <c r="Q216" s="160" t="str">
        <f t="shared" si="139"/>
        <v>1+15.2290034870166i</v>
      </c>
      <c r="R216" s="160">
        <f t="shared" si="147"/>
        <v>15.261800261029618</v>
      </c>
      <c r="S216" s="160">
        <f t="shared" si="148"/>
        <v>1.5052262816965292</v>
      </c>
      <c r="T216" s="160" t="str">
        <f t="shared" si="140"/>
        <v>1+0.000564037166185802i</v>
      </c>
      <c r="U216" s="160">
        <f t="shared" si="149"/>
        <v>1.0000001590689498</v>
      </c>
      <c r="V216" s="160">
        <f t="shared" si="150"/>
        <v>5.6403710637194216E-4</v>
      </c>
      <c r="W216" s="98" t="str">
        <f t="shared" si="141"/>
        <v>1-0.00448029522076666i</v>
      </c>
      <c r="X216" s="160">
        <f t="shared" si="151"/>
        <v>1.0000100364722673</v>
      </c>
      <c r="Y216" s="160">
        <f t="shared" si="152"/>
        <v>-4.4802652434047787E-3</v>
      </c>
      <c r="Z216" s="98" t="str">
        <f t="shared" si="142"/>
        <v>0.999981577864626+0.00864206258631245i</v>
      </c>
      <c r="AA216" s="160">
        <f t="shared" si="153"/>
        <v>1.0000189204781942</v>
      </c>
      <c r="AB216" s="160">
        <f t="shared" si="154"/>
        <v>8.6420066473868185E-3</v>
      </c>
      <c r="AC216" s="171" t="str">
        <f t="shared" si="155"/>
        <v>0.377562553401379-7.11556166276211i</v>
      </c>
      <c r="AD216" s="190">
        <f t="shared" si="156"/>
        <v>17.056394221369789</v>
      </c>
      <c r="AE216" s="169">
        <f t="shared" si="157"/>
        <v>-86.962647004662713</v>
      </c>
      <c r="AF216" s="98" t="str">
        <f t="shared" si="143"/>
        <v>-0.0000366300366300366</v>
      </c>
      <c r="AG216" s="98" t="str">
        <f t="shared" si="144"/>
        <v>0.000414027281561918i</v>
      </c>
      <c r="AH216" s="98">
        <f t="shared" si="158"/>
        <v>4.1402728156191801E-4</v>
      </c>
      <c r="AI216" s="98">
        <f t="shared" si="159"/>
        <v>1.5707963267948966</v>
      </c>
      <c r="AJ216" s="98" t="str">
        <f t="shared" si="145"/>
        <v>1+0.0591343313299946i</v>
      </c>
      <c r="AK216" s="98">
        <f t="shared" si="160"/>
        <v>1.0017469087258746</v>
      </c>
      <c r="AL216" s="98">
        <f t="shared" si="161"/>
        <v>5.9065547250293761E-2</v>
      </c>
      <c r="AM216" s="98" t="str">
        <f t="shared" si="146"/>
        <v>1+4.08026886176962i</v>
      </c>
      <c r="AN216" s="98">
        <f t="shared" si="162"/>
        <v>4.2010229687930476</v>
      </c>
      <c r="AO216" s="98">
        <f t="shared" si="163"/>
        <v>1.330451803587116</v>
      </c>
      <c r="AP216" s="168" t="str">
        <f t="shared" si="164"/>
        <v>-0.354520191356385+0.109436833689579i</v>
      </c>
      <c r="AQ216" s="98">
        <f t="shared" si="165"/>
        <v>-8.6118912208453651</v>
      </c>
      <c r="AR216" s="169">
        <f t="shared" si="166"/>
        <v>162.84506661903768</v>
      </c>
      <c r="AS216" s="168" t="str">
        <f t="shared" si="167"/>
        <v>0.644850989614779+2.56392953265458i</v>
      </c>
      <c r="AT216" s="190">
        <f t="shared" si="168"/>
        <v>8.4445030005244277</v>
      </c>
      <c r="AU216" s="169">
        <f t="shared" si="169"/>
        <v>75.882419614374953</v>
      </c>
      <c r="AV216" s="225"/>
      <c r="AX216">
        <f t="shared" si="170"/>
        <v>0</v>
      </c>
      <c r="AY216">
        <f t="shared" si="171"/>
        <v>0</v>
      </c>
    </row>
    <row r="217" spans="14:51" x14ac:dyDescent="0.3">
      <c r="N217" s="170">
        <v>99</v>
      </c>
      <c r="O217" s="199">
        <f t="shared" si="137"/>
        <v>977.23722095581138</v>
      </c>
      <c r="P217" s="189" t="str">
        <f t="shared" si="138"/>
        <v>108.75</v>
      </c>
      <c r="Q217" s="160" t="str">
        <f t="shared" si="139"/>
        <v>1+15.5837325476833i</v>
      </c>
      <c r="R217" s="160">
        <f t="shared" si="147"/>
        <v>15.615784326050481</v>
      </c>
      <c r="S217" s="160">
        <f t="shared" si="148"/>
        <v>1.5067147080868519</v>
      </c>
      <c r="T217" s="160" t="str">
        <f t="shared" si="140"/>
        <v>1+0.000577175279543827i</v>
      </c>
      <c r="U217" s="160">
        <f t="shared" si="149"/>
        <v>1.0000001665656377</v>
      </c>
      <c r="V217" s="160">
        <f t="shared" si="150"/>
        <v>5.7717521545212205E-4</v>
      </c>
      <c r="W217" s="98" t="str">
        <f t="shared" si="141"/>
        <v>1-0.00458465470275948i</v>
      </c>
      <c r="X217" s="160">
        <f t="shared" si="151"/>
        <v>1.0000105094741472</v>
      </c>
      <c r="Y217" s="160">
        <f t="shared" si="152"/>
        <v>-4.584622581455736E-3</v>
      </c>
      <c r="Z217" s="98" t="str">
        <f t="shared" si="142"/>
        <v>0.999980709656134+0.00884336208342523i</v>
      </c>
      <c r="AA217" s="160">
        <f t="shared" si="153"/>
        <v>1.0000198121724009</v>
      </c>
      <c r="AB217" s="160">
        <f t="shared" si="154"/>
        <v>8.8433021438210149E-3</v>
      </c>
      <c r="AC217" s="171" t="str">
        <f t="shared" si="155"/>
        <v>0.356617973991055-6.95490690577997i</v>
      </c>
      <c r="AD217" s="190">
        <f t="shared" si="156"/>
        <v>16.857229914280602</v>
      </c>
      <c r="AE217" s="169">
        <f t="shared" si="157"/>
        <v>-87.06468741415523</v>
      </c>
      <c r="AF217" s="98" t="str">
        <f t="shared" si="143"/>
        <v>-0.0000366300366300366</v>
      </c>
      <c r="AG217" s="98" t="str">
        <f t="shared" si="144"/>
        <v>0.000423671215835361i</v>
      </c>
      <c r="AH217" s="98">
        <f t="shared" si="158"/>
        <v>4.2367121583536101E-4</v>
      </c>
      <c r="AI217" s="98">
        <f t="shared" si="159"/>
        <v>1.5707963267948966</v>
      </c>
      <c r="AJ217" s="98" t="str">
        <f t="shared" si="145"/>
        <v>1+0.0605117468531918i</v>
      </c>
      <c r="AK217" s="98">
        <f t="shared" si="160"/>
        <v>1.0018291628352733</v>
      </c>
      <c r="AL217" s="98">
        <f t="shared" si="161"/>
        <v>6.0438050649900182E-2</v>
      </c>
      <c r="AM217" s="98" t="str">
        <f t="shared" si="146"/>
        <v>1+4.17531053287022i</v>
      </c>
      <c r="AN217" s="98">
        <f t="shared" si="162"/>
        <v>4.2933923703636729</v>
      </c>
      <c r="AO217" s="98">
        <f t="shared" si="163"/>
        <v>1.3357211947337715</v>
      </c>
      <c r="AP217" s="168" t="str">
        <f t="shared" si="164"/>
        <v>-0.354461978745733+0.107907752350948i</v>
      </c>
      <c r="AQ217" s="98">
        <f t="shared" si="165"/>
        <v>-8.6236939124274805</v>
      </c>
      <c r="AR217" s="169">
        <f t="shared" si="166"/>
        <v>163.06834184017993</v>
      </c>
      <c r="AS217" s="168" t="str">
        <f t="shared" si="167"/>
        <v>0.624080859295639+2.50373190783646i</v>
      </c>
      <c r="AT217" s="190">
        <f t="shared" si="168"/>
        <v>8.2335360018531354</v>
      </c>
      <c r="AU217" s="169">
        <f t="shared" si="169"/>
        <v>76.003654426024738</v>
      </c>
      <c r="AV217" s="225"/>
      <c r="AX217">
        <f t="shared" si="170"/>
        <v>0</v>
      </c>
      <c r="AY217">
        <f t="shared" si="171"/>
        <v>0</v>
      </c>
    </row>
    <row r="218" spans="14:51" x14ac:dyDescent="0.3">
      <c r="N218" s="170">
        <v>100</v>
      </c>
      <c r="O218" s="199">
        <f t="shared" si="137"/>
        <v>1000</v>
      </c>
      <c r="P218" s="189" t="str">
        <f t="shared" si="138"/>
        <v>108.75</v>
      </c>
      <c r="Q218" s="160" t="str">
        <f t="shared" si="139"/>
        <v>1+15.9467243096218i</v>
      </c>
      <c r="R218" s="160">
        <f t="shared" si="147"/>
        <v>15.978047947327072</v>
      </c>
      <c r="S218" s="160">
        <f t="shared" si="148"/>
        <v>1.5081695285456531</v>
      </c>
      <c r="T218" s="160" t="str">
        <f t="shared" si="140"/>
        <v>1+0.000590619418874883i</v>
      </c>
      <c r="U218" s="160">
        <f t="shared" si="149"/>
        <v>1.0000001744156337</v>
      </c>
      <c r="V218" s="160">
        <f t="shared" si="150"/>
        <v>5.9061935019938459E-4</v>
      </c>
      <c r="W218" s="98" t="str">
        <f t="shared" si="141"/>
        <v>1-0.00469144502936078i</v>
      </c>
      <c r="X218" s="160">
        <f t="shared" si="151"/>
        <v>1.0000110047676793</v>
      </c>
      <c r="Y218" s="160">
        <f t="shared" si="152"/>
        <v>-4.6914106107841655E-3</v>
      </c>
      <c r="Z218" s="98" t="str">
        <f t="shared" si="142"/>
        <v>0.999979800530236+0.00904935044817036i</v>
      </c>
      <c r="AA218" s="160">
        <f t="shared" si="153"/>
        <v>1.0000207458908161</v>
      </c>
      <c r="AB218" s="160">
        <f t="shared" si="154"/>
        <v>9.0492862217660241E-3</v>
      </c>
      <c r="AC218" s="171" t="str">
        <f t="shared" si="155"/>
        <v>0.336608513363743-6.79781919333019i</v>
      </c>
      <c r="AD218" s="190">
        <f t="shared" si="156"/>
        <v>16.65802781718471</v>
      </c>
      <c r="AE218" s="169">
        <f t="shared" si="157"/>
        <v>-87.165192715909768</v>
      </c>
      <c r="AF218" s="98" t="str">
        <f t="shared" si="143"/>
        <v>-0.0000366300366300366</v>
      </c>
      <c r="AG218" s="98" t="str">
        <f t="shared" si="144"/>
        <v>0.000433539786195391i</v>
      </c>
      <c r="AH218" s="98">
        <f t="shared" si="158"/>
        <v>4.33539786195391E-4</v>
      </c>
      <c r="AI218" s="98">
        <f t="shared" si="159"/>
        <v>1.5707963267948966</v>
      </c>
      <c r="AJ218" s="98" t="str">
        <f t="shared" si="145"/>
        <v>1+0.0619212465055381i</v>
      </c>
      <c r="AK218" s="98">
        <f t="shared" si="160"/>
        <v>1.0019152862237404</v>
      </c>
      <c r="AL218" s="98">
        <f t="shared" si="161"/>
        <v>6.1842287751617549E-2</v>
      </c>
      <c r="AM218" s="98" t="str">
        <f t="shared" si="146"/>
        <v>1+4.27256600888211i</v>
      </c>
      <c r="AN218" s="98">
        <f t="shared" si="162"/>
        <v>4.3880314835077012</v>
      </c>
      <c r="AO218" s="98">
        <f t="shared" si="163"/>
        <v>1.3408835237172787</v>
      </c>
      <c r="AP218" s="168" t="str">
        <f t="shared" si="164"/>
        <v>-0.354401043145567+0.10643555428643i</v>
      </c>
      <c r="AQ218" s="98">
        <f t="shared" si="165"/>
        <v>-8.6350574781715093</v>
      </c>
      <c r="AR218" s="169">
        <f t="shared" si="166"/>
        <v>163.28366464402873</v>
      </c>
      <c r="AS218" s="168" t="str">
        <f t="shared" si="167"/>
        <v>0.604235245513242+2.44498132692858i</v>
      </c>
      <c r="AT218" s="190">
        <f t="shared" si="168"/>
        <v>8.0229703390132094</v>
      </c>
      <c r="AU218" s="169">
        <f t="shared" si="169"/>
        <v>76.118471928119007</v>
      </c>
      <c r="AV218" s="225"/>
      <c r="AX218">
        <f t="shared" si="170"/>
        <v>0</v>
      </c>
      <c r="AY218">
        <f t="shared" si="171"/>
        <v>0</v>
      </c>
    </row>
    <row r="219" spans="14:51" x14ac:dyDescent="0.3">
      <c r="N219" s="170">
        <v>1</v>
      </c>
      <c r="O219" s="199">
        <f>10^(3+(N219/100))</f>
        <v>1023.2929922807547</v>
      </c>
      <c r="P219" s="189" t="str">
        <f t="shared" si="138"/>
        <v>108.75</v>
      </c>
      <c r="Q219" s="160" t="str">
        <f t="shared" si="139"/>
        <v>1+16.3181712358691i</v>
      </c>
      <c r="R219" s="160">
        <f t="shared" si="147"/>
        <v>16.348783211087785</v>
      </c>
      <c r="S219" s="160">
        <f t="shared" si="148"/>
        <v>1.5095914897910565</v>
      </c>
      <c r="T219" s="160" t="str">
        <f t="shared" si="140"/>
        <v>1+0.000604376712439599i</v>
      </c>
      <c r="U219" s="160">
        <f t="shared" si="149"/>
        <v>1.0000001826355887</v>
      </c>
      <c r="V219" s="160">
        <f t="shared" si="150"/>
        <v>6.0437663885247732E-4</v>
      </c>
      <c r="W219" s="98" t="str">
        <f t="shared" si="141"/>
        <v>1-0.00480072282221526i</v>
      </c>
      <c r="X219" s="160">
        <f t="shared" si="151"/>
        <v>1.0000115234034135</v>
      </c>
      <c r="Y219" s="160">
        <f t="shared" si="152"/>
        <v>-4.8006859420689114E-3</v>
      </c>
      <c r="Z219" s="98" t="str">
        <f t="shared" si="142"/>
        <v>0.999978848558555+0.00926013689830542i</v>
      </c>
      <c r="AA219" s="160">
        <f t="shared" si="153"/>
        <v>1.0000217236139768</v>
      </c>
      <c r="AB219" s="160">
        <f t="shared" si="154"/>
        <v>9.2600680785167155E-3</v>
      </c>
      <c r="AC219" s="171" t="str">
        <f t="shared" si="155"/>
        <v>0.317492746287059-6.64422321855763i</v>
      </c>
      <c r="AD219" s="190">
        <f t="shared" si="156"/>
        <v>16.458789602131795</v>
      </c>
      <c r="AE219" s="169">
        <f t="shared" si="157"/>
        <v>-87.264214785402444</v>
      </c>
      <c r="AF219" s="98" t="str">
        <f t="shared" si="143"/>
        <v>-0.0000366300366300366</v>
      </c>
      <c r="AG219" s="98" t="str">
        <f t="shared" si="144"/>
        <v>0.000443638225088641i</v>
      </c>
      <c r="AH219" s="98">
        <f t="shared" si="158"/>
        <v>4.4363822508864097E-4</v>
      </c>
      <c r="AI219" s="98">
        <f t="shared" si="159"/>
        <v>1.5707963267948966</v>
      </c>
      <c r="AJ219" s="98" t="str">
        <f t="shared" si="145"/>
        <v>1+0.0633635776224062i</v>
      </c>
      <c r="AK219" s="98">
        <f t="shared" si="160"/>
        <v>1.0020054605485496</v>
      </c>
      <c r="AL219" s="98">
        <f t="shared" si="161"/>
        <v>6.327898093611975E-2</v>
      </c>
      <c r="AM219" s="98" t="str">
        <f t="shared" si="146"/>
        <v>1+4.37208685594602i</v>
      </c>
      <c r="AN219" s="98">
        <f t="shared" si="162"/>
        <v>4.4849909114663715</v>
      </c>
      <c r="AO219" s="98">
        <f t="shared" si="163"/>
        <v>1.3459404265935782</v>
      </c>
      <c r="AP219" s="168" t="str">
        <f t="shared" si="164"/>
        <v>-0.354337258190236+0.105019435438278i</v>
      </c>
      <c r="AQ219" s="98">
        <f t="shared" si="165"/>
        <v>-8.6460025420234849</v>
      </c>
      <c r="AR219" s="169">
        <f t="shared" si="166"/>
        <v>163.49108738032109</v>
      </c>
      <c r="AS219" s="168" t="str">
        <f t="shared" si="167"/>
        <v>0.585273062124176+2.38763874703843i</v>
      </c>
      <c r="AT219" s="190">
        <f t="shared" si="168"/>
        <v>7.8127870601083078</v>
      </c>
      <c r="AU219" s="169">
        <f t="shared" si="169"/>
        <v>76.226872594918632</v>
      </c>
      <c r="AV219" s="225"/>
      <c r="AX219">
        <f t="shared" si="170"/>
        <v>0</v>
      </c>
      <c r="AY219">
        <f t="shared" si="171"/>
        <v>0</v>
      </c>
    </row>
    <row r="220" spans="14:51" x14ac:dyDescent="0.3">
      <c r="N220" s="170">
        <v>2</v>
      </c>
      <c r="O220" s="199">
        <f t="shared" ref="O220:O283" si="172">10^(3+(N220/100))</f>
        <v>1047.1285480509</v>
      </c>
      <c r="P220" s="189" t="str">
        <f t="shared" si="138"/>
        <v>108.75</v>
      </c>
      <c r="Q220" s="160" t="str">
        <f t="shared" si="139"/>
        <v>1+16.6982702725022i</v>
      </c>
      <c r="R220" s="160">
        <f t="shared" si="147"/>
        <v>16.728186694723689</v>
      </c>
      <c r="S220" s="160">
        <f t="shared" si="148"/>
        <v>1.5109813227514077</v>
      </c>
      <c r="T220" s="160" t="str">
        <f t="shared" si="140"/>
        <v>1+0.000618454454537122i</v>
      </c>
      <c r="U220" s="160">
        <f t="shared" si="149"/>
        <v>1.0000001912429379</v>
      </c>
      <c r="V220" s="160">
        <f t="shared" si="150"/>
        <v>6.1845437568710127E-4</v>
      </c>
      <c r="W220" s="98" t="str">
        <f t="shared" si="141"/>
        <v>1-0.00491254602185516i</v>
      </c>
      <c r="X220" s="160">
        <f t="shared" si="151"/>
        <v>1.0000120664814085</v>
      </c>
      <c r="Y220" s="160">
        <f t="shared" si="152"/>
        <v>-4.912506504092121E-3</v>
      </c>
      <c r="Z220" s="98" t="str">
        <f t="shared" si="142"/>
        <v>0.99997785172183+0.00947583319559638i</v>
      </c>
      <c r="AA220" s="160">
        <f t="shared" si="153"/>
        <v>1.0000227474157561</v>
      </c>
      <c r="AB220" s="160">
        <f t="shared" si="154"/>
        <v>9.4757594539129613E-3</v>
      </c>
      <c r="AC220" s="171" t="str">
        <f t="shared" si="155"/>
        <v>0.299231054312809-6.49404499987508i</v>
      </c>
      <c r="AD220" s="190">
        <f t="shared" si="156"/>
        <v>16.259516866347607</v>
      </c>
      <c r="AE220" s="169">
        <f t="shared" si="157"/>
        <v>-87.361804805107312</v>
      </c>
      <c r="AF220" s="98" t="str">
        <f t="shared" si="143"/>
        <v>-0.0000366300366300366</v>
      </c>
      <c r="AG220" s="98" t="str">
        <f t="shared" si="144"/>
        <v>0.000453971886841078i</v>
      </c>
      <c r="AH220" s="98">
        <f t="shared" si="158"/>
        <v>4.5397188684107801E-4</v>
      </c>
      <c r="AI220" s="98">
        <f t="shared" si="159"/>
        <v>1.5707963267948966</v>
      </c>
      <c r="AJ220" s="98" t="str">
        <f t="shared" si="145"/>
        <v>1+0.0648395049468459i</v>
      </c>
      <c r="AK220" s="98">
        <f t="shared" si="160"/>
        <v>1.0020998759613495</v>
      </c>
      <c r="AL220" s="98">
        <f t="shared" si="161"/>
        <v>6.4748868220084632E-2</v>
      </c>
      <c r="AM220" s="98" t="str">
        <f t="shared" si="146"/>
        <v>1+4.47392584133236i</v>
      </c>
      <c r="AN220" s="98">
        <f t="shared" si="162"/>
        <v>4.5843224617975409</v>
      </c>
      <c r="AO220" s="98">
        <f t="shared" si="163"/>
        <v>1.350893549605799</v>
      </c>
      <c r="AP220" s="168" t="str">
        <f t="shared" si="164"/>
        <v>-0.354270491746521+0.103658619825676i</v>
      </c>
      <c r="AQ220" s="98">
        <f t="shared" si="165"/>
        <v>-8.6565491230134786</v>
      </c>
      <c r="AR220" s="169">
        <f t="shared" si="166"/>
        <v>163.6906620865995</v>
      </c>
      <c r="AS220" s="168" t="str">
        <f t="shared" si="167"/>
        <v>0.567155009015654+2.33166639362883i</v>
      </c>
      <c r="AT220" s="190">
        <f t="shared" si="168"/>
        <v>7.6029677433341369</v>
      </c>
      <c r="AU220" s="169">
        <f t="shared" si="169"/>
        <v>76.328857281492219</v>
      </c>
      <c r="AV220" s="225"/>
      <c r="AX220">
        <f t="shared" si="170"/>
        <v>0</v>
      </c>
      <c r="AY220">
        <f t="shared" si="171"/>
        <v>0</v>
      </c>
    </row>
    <row r="221" spans="14:51" x14ac:dyDescent="0.3">
      <c r="N221" s="170">
        <v>3</v>
      </c>
      <c r="O221" s="199">
        <f t="shared" si="172"/>
        <v>1071.5193052376069</v>
      </c>
      <c r="P221" s="189" t="str">
        <f t="shared" si="138"/>
        <v>108.75</v>
      </c>
      <c r="Q221" s="160" t="str">
        <f t="shared" si="139"/>
        <v>1+17.0872229530616i</v>
      </c>
      <c r="R221" s="160">
        <f t="shared" si="147"/>
        <v>17.116459571057192</v>
      </c>
      <c r="S221" s="160">
        <f t="shared" si="148"/>
        <v>1.512339742845201</v>
      </c>
      <c r="T221" s="160" t="str">
        <f t="shared" si="140"/>
        <v>1+0.000632860109372653i</v>
      </c>
      <c r="U221" s="160">
        <f t="shared" si="149"/>
        <v>1.0000002002559389</v>
      </c>
      <c r="V221" s="160">
        <f t="shared" si="150"/>
        <v>6.3286002488333461E-4</v>
      </c>
      <c r="W221" s="98" t="str">
        <f t="shared" si="141"/>
        <v>1-0.00502697391842108i</v>
      </c>
      <c r="X221" s="160">
        <f t="shared" si="151"/>
        <v>1.0000126351535648</v>
      </c>
      <c r="Y221" s="160">
        <f t="shared" si="152"/>
        <v>-5.0269315744039793E-3</v>
      </c>
      <c r="Z221" s="98" t="str">
        <f t="shared" si="142"/>
        <v>0.999976807905638+0.00969655370507512i</v>
      </c>
      <c r="AA221" s="160">
        <f t="shared" si="153"/>
        <v>1.0000238194677689</v>
      </c>
      <c r="AB221" s="160">
        <f t="shared" si="154"/>
        <v>9.6964746894924389E-3</v>
      </c>
      <c r="AC221" s="171" t="str">
        <f t="shared" si="155"/>
        <v>0.281785549473568-6.34721187612473i</v>
      </c>
      <c r="AD221" s="190">
        <f t="shared" si="156"/>
        <v>16.060211135465547</v>
      </c>
      <c r="AE221" s="169">
        <f t="shared" si="157"/>
        <v>-87.458013285459643</v>
      </c>
      <c r="AF221" s="98" t="str">
        <f t="shared" si="143"/>
        <v>-0.0000366300366300366</v>
      </c>
      <c r="AG221" s="98" t="str">
        <f t="shared" si="144"/>
        <v>0.000464546250496946i</v>
      </c>
      <c r="AH221" s="98">
        <f t="shared" si="158"/>
        <v>4.6454625049694597E-4</v>
      </c>
      <c r="AI221" s="98">
        <f t="shared" si="159"/>
        <v>1.5707963267948966</v>
      </c>
      <c r="AJ221" s="98" t="str">
        <f t="shared" si="145"/>
        <v>1+0.0663498110350607i</v>
      </c>
      <c r="AK221" s="98">
        <f t="shared" si="160"/>
        <v>1.002198731502085</v>
      </c>
      <c r="AL221" s="98">
        <f t="shared" si="161"/>
        <v>6.6252703536546165E-2</v>
      </c>
      <c r="AM221" s="98" t="str">
        <f t="shared" si="146"/>
        <v>1+4.57813696141918i</v>
      </c>
      <c r="AN221" s="98">
        <f t="shared" si="162"/>
        <v>4.6860791753354363</v>
      </c>
      <c r="AO221" s="98">
        <f t="shared" si="163"/>
        <v>1.3557445463894975</v>
      </c>
      <c r="AP221" s="168" t="str">
        <f t="shared" si="164"/>
        <v>-0.354200605659689+0.102352359017475i</v>
      </c>
      <c r="AQ221" s="98">
        <f t="shared" si="165"/>
        <v>-8.6667166549685106</v>
      </c>
      <c r="AR221" s="169">
        <f t="shared" si="166"/>
        <v>163.88244031202089</v>
      </c>
      <c r="AS221" s="168" t="str">
        <f t="shared" si="167"/>
        <v>0.549843496415413+2.27702770649941i</v>
      </c>
      <c r="AT221" s="190">
        <f t="shared" si="168"/>
        <v>7.3934944804970524</v>
      </c>
      <c r="AU221" s="169">
        <f t="shared" si="169"/>
        <v>76.424427026561276</v>
      </c>
      <c r="AV221" s="225"/>
      <c r="AX221">
        <f t="shared" si="170"/>
        <v>0</v>
      </c>
      <c r="AY221">
        <f t="shared" si="171"/>
        <v>0</v>
      </c>
    </row>
    <row r="222" spans="14:51" x14ac:dyDescent="0.3">
      <c r="N222" s="170">
        <v>4</v>
      </c>
      <c r="O222" s="199">
        <f t="shared" si="172"/>
        <v>1096.4781961431863</v>
      </c>
      <c r="P222" s="189" t="str">
        <f t="shared" si="138"/>
        <v>108.75</v>
      </c>
      <c r="Q222" s="160" t="str">
        <f t="shared" si="139"/>
        <v>1+17.4852355054068i</v>
      </c>
      <c r="R222" s="160">
        <f t="shared" si="147"/>
        <v>17.513807715044109</v>
      </c>
      <c r="S222" s="160">
        <f t="shared" si="148"/>
        <v>1.5136674502598177</v>
      </c>
      <c r="T222" s="160" t="str">
        <f t="shared" si="140"/>
        <v>1+0.000647601315015068i</v>
      </c>
      <c r="U222" s="160">
        <f t="shared" si="149"/>
        <v>1.0000002096937095</v>
      </c>
      <c r="V222" s="160">
        <f t="shared" si="150"/>
        <v>6.4760122448313318E-4</v>
      </c>
      <c r="W222" s="98" t="str">
        <f t="shared" si="141"/>
        <v>1-0.00514406718309842i</v>
      </c>
      <c r="X222" s="160">
        <f t="shared" si="151"/>
        <v>1.0000132306260674</v>
      </c>
      <c r="Y222" s="160">
        <f t="shared" si="152"/>
        <v>-5.1440218106990569E-3</v>
      </c>
      <c r="Z222" s="98" t="str">
        <f t="shared" si="142"/>
        <v>0.999975714895905+0.00992241545567735i</v>
      </c>
      <c r="AA222" s="160">
        <f t="shared" si="153"/>
        <v>1.0000249420439729</v>
      </c>
      <c r="AB222" s="160">
        <f t="shared" si="154"/>
        <v>9.922330789016465E-3</v>
      </c>
      <c r="AC222" s="171" t="str">
        <f t="shared" si="155"/>
        <v>0.265120000980528-6.20365250022311i</v>
      </c>
      <c r="AD222" s="190">
        <f t="shared" si="156"/>
        <v>15.860873866620475</v>
      </c>
      <c r="AE222" s="169">
        <f t="shared" si="157"/>
        <v>-87.5528900858653</v>
      </c>
      <c r="AF222" s="98" t="str">
        <f t="shared" si="143"/>
        <v>-0.0000366300366300366</v>
      </c>
      <c r="AG222" s="98" t="str">
        <f t="shared" si="144"/>
        <v>0.000475366922723825i</v>
      </c>
      <c r="AH222" s="98">
        <f t="shared" si="158"/>
        <v>4.7536692272382499E-4</v>
      </c>
      <c r="AI222" s="98">
        <f t="shared" si="159"/>
        <v>1.5707963267948966</v>
      </c>
      <c r="AJ222" s="98" t="str">
        <f t="shared" si="145"/>
        <v>1+0.0678952966713299i</v>
      </c>
      <c r="AK222" s="98">
        <f t="shared" si="160"/>
        <v>1.0023022355108702</v>
      </c>
      <c r="AL222" s="98">
        <f t="shared" si="161"/>
        <v>6.7791257015934789E-2</v>
      </c>
      <c r="AM222" s="98" t="str">
        <f t="shared" si="146"/>
        <v>1+4.68477547032175i</v>
      </c>
      <c r="AN222" s="98">
        <f t="shared" si="162"/>
        <v>4.7903153557285103</v>
      </c>
      <c r="AO222" s="98">
        <f t="shared" si="163"/>
        <v>1.3604950753544223</v>
      </c>
      <c r="AP222" s="168" t="str">
        <f t="shared" si="164"/>
        <v>-0.354127455489272+0.101099931611569i</v>
      </c>
      <c r="AQ222" s="98">
        <f t="shared" si="165"/>
        <v>-8.6765240066652876</v>
      </c>
      <c r="AR222" s="169">
        <f t="shared" si="166"/>
        <v>164.06647295124154</v>
      </c>
      <c r="AS222" s="168" t="str">
        <f t="shared" si="167"/>
        <v>0.533302572167948+2.22368728861166i</v>
      </c>
      <c r="AT222" s="190">
        <f t="shared" si="168"/>
        <v>7.1843498599551845</v>
      </c>
      <c r="AU222" s="169">
        <f t="shared" si="169"/>
        <v>76.513582865376236</v>
      </c>
      <c r="AV222" s="225"/>
      <c r="AX222">
        <f t="shared" si="170"/>
        <v>0</v>
      </c>
      <c r="AY222">
        <f t="shared" si="171"/>
        <v>0</v>
      </c>
    </row>
    <row r="223" spans="14:51" x14ac:dyDescent="0.3">
      <c r="N223" s="170">
        <v>5</v>
      </c>
      <c r="O223" s="199">
        <f t="shared" si="172"/>
        <v>1122.0184543019636</v>
      </c>
      <c r="P223" s="189" t="str">
        <f t="shared" si="138"/>
        <v>108.75</v>
      </c>
      <c r="Q223" s="160" t="str">
        <f t="shared" si="139"/>
        <v>1+17.8925189610614i</v>
      </c>
      <c r="R223" s="160">
        <f t="shared" si="147"/>
        <v>17.920441812967159</v>
      </c>
      <c r="S223" s="160">
        <f t="shared" si="148"/>
        <v>1.5149651302287772</v>
      </c>
      <c r="T223" s="160" t="str">
        <f t="shared" si="140"/>
        <v>1+0.00066268588744672i</v>
      </c>
      <c r="U223" s="160">
        <f t="shared" si="149"/>
        <v>1.0000002195762685</v>
      </c>
      <c r="V223" s="160">
        <f t="shared" si="150"/>
        <v>6.6268579044000532E-4</v>
      </c>
      <c r="W223" s="98" t="str">
        <f t="shared" si="141"/>
        <v>1-0.00526388790028601i</v>
      </c>
      <c r="X223" s="160">
        <f t="shared" si="151"/>
        <v>1.0000138541619443</v>
      </c>
      <c r="Y223" s="160">
        <f t="shared" si="152"/>
        <v>-5.2638392829205448E-3</v>
      </c>
      <c r="Z223" s="98" t="str">
        <f t="shared" si="142"/>
        <v>0.999974570374209+0.0101535382022929i</v>
      </c>
      <c r="AA223" s="160">
        <f t="shared" si="153"/>
        <v>1.0000261175254921</v>
      </c>
      <c r="AB223" s="160">
        <f t="shared" si="154"/>
        <v>1.0153447480400124E-2</v>
      </c>
      <c r="AC223" s="171" t="str">
        <f t="shared" si="155"/>
        <v>0.2491997648245-6.06329683142499i</v>
      </c>
      <c r="AD223" s="190">
        <f t="shared" si="156"/>
        <v>15.66150645140916</v>
      </c>
      <c r="AE223" s="169">
        <f t="shared" si="157"/>
        <v>-87.646484435741755</v>
      </c>
      <c r="AF223" s="98" t="str">
        <f t="shared" si="143"/>
        <v>-0.0000366300366300366</v>
      </c>
      <c r="AG223" s="98" t="str">
        <f t="shared" si="144"/>
        <v>0.000486439640785357i</v>
      </c>
      <c r="AH223" s="98">
        <f t="shared" si="158"/>
        <v>4.8643964078535698E-4</v>
      </c>
      <c r="AI223" s="98">
        <f t="shared" si="159"/>
        <v>1.5707963267948966</v>
      </c>
      <c r="AJ223" s="98" t="str">
        <f t="shared" si="145"/>
        <v>1+0.0694767812925947i</v>
      </c>
      <c r="AK223" s="98">
        <f t="shared" si="160"/>
        <v>1.0024106060586047</v>
      </c>
      <c r="AL223" s="98">
        <f t="shared" si="161"/>
        <v>6.9365315267421249E-2</v>
      </c>
      <c r="AM223" s="98" t="str">
        <f t="shared" si="146"/>
        <v>1+4.79389790918902i</v>
      </c>
      <c r="AN223" s="98">
        <f t="shared" si="162"/>
        <v>4.897086599573961</v>
      </c>
      <c r="AO223" s="98">
        <f t="shared" si="163"/>
        <v>1.3651467972365716</v>
      </c>
      <c r="AP223" s="168" t="str">
        <f t="shared" si="164"/>
        <v>-0.354050890234235+0.0999006427201241i</v>
      </c>
      <c r="AQ223" s="98">
        <f t="shared" si="165"/>
        <v>-8.6859895023484555</v>
      </c>
      <c r="AR223" s="169">
        <f t="shared" si="166"/>
        <v>164.24281008803948</v>
      </c>
      <c r="AS223" s="168" t="str">
        <f t="shared" si="167"/>
        <v>0.517497851879972+2.17161085759211i</v>
      </c>
      <c r="AT223" s="190">
        <f t="shared" si="168"/>
        <v>6.9755169490607205</v>
      </c>
      <c r="AU223" s="169">
        <f t="shared" si="169"/>
        <v>76.596325652297793</v>
      </c>
      <c r="AV223" s="225"/>
      <c r="AX223">
        <f t="shared" si="170"/>
        <v>0</v>
      </c>
      <c r="AY223">
        <f t="shared" si="171"/>
        <v>0</v>
      </c>
    </row>
    <row r="224" spans="14:51" x14ac:dyDescent="0.3">
      <c r="N224" s="170">
        <v>6</v>
      </c>
      <c r="O224" s="199">
        <f t="shared" si="172"/>
        <v>1148.1536214968839</v>
      </c>
      <c r="P224" s="189" t="str">
        <f t="shared" si="138"/>
        <v>108.75</v>
      </c>
      <c r="Q224" s="160" t="str">
        <f t="shared" si="139"/>
        <v>1+18.3092892671046i</v>
      </c>
      <c r="R224" s="160">
        <f t="shared" si="147"/>
        <v>18.336577474177442</v>
      </c>
      <c r="S224" s="160">
        <f t="shared" si="148"/>
        <v>1.5162334533072115</v>
      </c>
      <c r="T224" s="160" t="str">
        <f t="shared" si="140"/>
        <v>1+0.000678121824707581i</v>
      </c>
      <c r="U224" s="160">
        <f t="shared" si="149"/>
        <v>1.000000229924578</v>
      </c>
      <c r="V224" s="160">
        <f t="shared" si="150"/>
        <v>6.7812172076301476E-4</v>
      </c>
      <c r="W224" s="98" t="str">
        <f t="shared" si="141"/>
        <v>1-0.00538649960051412i</v>
      </c>
      <c r="X224" s="160">
        <f t="shared" si="151"/>
        <v>1.0000145070837454</v>
      </c>
      <c r="Y224" s="160">
        <f t="shared" si="152"/>
        <v>-5.3864475061092699E-3</v>
      </c>
      <c r="Z224" s="98" t="str">
        <f t="shared" si="142"/>
        <v>0.999973371912869+0.0103900444892612i</v>
      </c>
      <c r="AA224" s="160">
        <f t="shared" si="153"/>
        <v>1.0000273484056732</v>
      </c>
      <c r="AB224" s="160">
        <f t="shared" si="154"/>
        <v>1.0389947279078942E-2</v>
      </c>
      <c r="AC224" s="171" t="str">
        <f t="shared" si="155"/>
        <v>0.233991716183475-5.92607612633408i</v>
      </c>
      <c r="AD224" s="190">
        <f t="shared" si="156"/>
        <v>15.462110218723621</v>
      </c>
      <c r="AE224" s="169">
        <f t="shared" si="157"/>
        <v>-87.738844955576994</v>
      </c>
      <c r="AF224" s="98" t="str">
        <f t="shared" si="143"/>
        <v>-0.0000366300366300366</v>
      </c>
      <c r="AG224" s="98" t="str">
        <f t="shared" si="144"/>
        <v>0.000497770275583223i</v>
      </c>
      <c r="AH224" s="98">
        <f t="shared" si="158"/>
        <v>4.9777027558322304E-4</v>
      </c>
      <c r="AI224" s="98">
        <f t="shared" si="159"/>
        <v>1.5707963267948966</v>
      </c>
      <c r="AJ224" s="98" t="str">
        <f t="shared" si="145"/>
        <v>1+0.0710951034229347i</v>
      </c>
      <c r="AK224" s="98">
        <f t="shared" si="160"/>
        <v>1.0025240713971499</v>
      </c>
      <c r="AL224" s="98">
        <f t="shared" si="161"/>
        <v>7.0975681660146506E-2</v>
      </c>
      <c r="AM224" s="98" t="str">
        <f t="shared" si="146"/>
        <v>1+4.90556213618248i</v>
      </c>
      <c r="AN224" s="98">
        <f t="shared" si="162"/>
        <v>5.006449827167673</v>
      </c>
      <c r="AO224" s="98">
        <f t="shared" si="163"/>
        <v>1.3697013728141509</v>
      </c>
      <c r="AP224" s="168" t="str">
        <f t="shared" si="164"/>
        <v>-0.353970752047206+0.0987538234598018i</v>
      </c>
      <c r="AQ224" s="98">
        <f t="shared" si="165"/>
        <v>-8.6951309425472889</v>
      </c>
      <c r="AR224" s="169">
        <f t="shared" si="166"/>
        <v>164.41150084833529</v>
      </c>
      <c r="AS224" s="168" t="str">
        <f t="shared" si="167"/>
        <v>0.502396451839061+2.12076519975851i</v>
      </c>
      <c r="AT224" s="190">
        <f t="shared" si="168"/>
        <v>6.7669792761763459</v>
      </c>
      <c r="AU224" s="169">
        <f t="shared" si="169"/>
        <v>76.6726558927583</v>
      </c>
      <c r="AV224" s="225"/>
      <c r="AX224">
        <f t="shared" si="170"/>
        <v>0</v>
      </c>
      <c r="AY224">
        <f t="shared" si="171"/>
        <v>0</v>
      </c>
    </row>
    <row r="225" spans="14:51" x14ac:dyDescent="0.3">
      <c r="N225" s="170">
        <v>7</v>
      </c>
      <c r="O225" s="199">
        <f t="shared" si="172"/>
        <v>1174.8975549395295</v>
      </c>
      <c r="P225" s="189" t="str">
        <f t="shared" si="138"/>
        <v>108.75</v>
      </c>
      <c r="Q225" s="160" t="str">
        <f t="shared" si="139"/>
        <v>1+18.7357674006694i</v>
      </c>
      <c r="R225" s="160">
        <f t="shared" si="147"/>
        <v>18.76243534544453</v>
      </c>
      <c r="S225" s="160">
        <f t="shared" si="148"/>
        <v>1.5174730756453232</v>
      </c>
      <c r="T225" s="160" t="str">
        <f t="shared" si="140"/>
        <v>1+0.000693917311135905i</v>
      </c>
      <c r="U225" s="160">
        <f t="shared" si="149"/>
        <v>1.0000002407605884</v>
      </c>
      <c r="V225" s="160">
        <f t="shared" si="150"/>
        <v>6.9391719975729702E-4</v>
      </c>
      <c r="W225" s="98" t="str">
        <f t="shared" si="141"/>
        <v>1-0.00551196729412918i</v>
      </c>
      <c r="X225" s="160">
        <f t="shared" si="151"/>
        <v>1.0000151907763459</v>
      </c>
      <c r="Y225" s="160">
        <f t="shared" si="152"/>
        <v>-5.5119114740144843E-3</v>
      </c>
      <c r="Z225" s="98" t="str">
        <f t="shared" si="142"/>
        <v>0.999972116969785+0.0106320597153463i</v>
      </c>
      <c r="AA225" s="160">
        <f t="shared" si="153"/>
        <v>1.0000286372953646</v>
      </c>
      <c r="AB225" s="160">
        <f t="shared" si="154"/>
        <v>1.0631955552846045E-2</v>
      </c>
      <c r="AC225" s="171" t="str">
        <f t="shared" si="155"/>
        <v>0.219464184541386-5.79192292877805i</v>
      </c>
      <c r="AD225" s="190">
        <f t="shared" si="156"/>
        <v>15.262686437461106</v>
      </c>
      <c r="AE225" s="169">
        <f t="shared" si="157"/>
        <v>-87.830019677995239</v>
      </c>
      <c r="AF225" s="98" t="str">
        <f t="shared" si="143"/>
        <v>-0.0000366300366300366</v>
      </c>
      <c r="AG225" s="98" t="str">
        <f t="shared" si="144"/>
        <v>0.000509364834769972i</v>
      </c>
      <c r="AH225" s="98">
        <f t="shared" si="158"/>
        <v>5.09364834769972E-4</v>
      </c>
      <c r="AI225" s="98">
        <f t="shared" si="159"/>
        <v>1.5707963267948966</v>
      </c>
      <c r="AJ225" s="98" t="str">
        <f t="shared" si="145"/>
        <v>1+0.0727511211181645i</v>
      </c>
      <c r="AK225" s="98">
        <f t="shared" si="160"/>
        <v>1.0026428704299202</v>
      </c>
      <c r="AL225" s="98">
        <f t="shared" si="161"/>
        <v>7.2623176603881193E-2</v>
      </c>
      <c r="AM225" s="98" t="str">
        <f t="shared" si="146"/>
        <v>1+5.01982735715333i</v>
      </c>
      <c r="AN225" s="98">
        <f t="shared" si="162"/>
        <v>5.1184633138887481</v>
      </c>
      <c r="AO225" s="98">
        <f t="shared" si="163"/>
        <v>1.3741604607809359</v>
      </c>
      <c r="AP225" s="168" t="str">
        <f t="shared" si="164"/>
        <v>-0.353886875937447+0.0976588304461124i</v>
      </c>
      <c r="AQ225" s="98">
        <f t="shared" si="165"/>
        <v>-8.703965625130003</v>
      </c>
      <c r="AR225" s="169">
        <f t="shared" si="166"/>
        <v>164.57259326226452</v>
      </c>
      <c r="AS225" s="168" t="str">
        <f t="shared" si="167"/>
        <v>0.487966924610976+2.07111812652285i</v>
      </c>
      <c r="AT225" s="190">
        <f t="shared" si="168"/>
        <v>6.5587208123310878</v>
      </c>
      <c r="AU225" s="169">
        <f t="shared" si="169"/>
        <v>76.742573584269252</v>
      </c>
      <c r="AV225" s="225"/>
      <c r="AX225">
        <f t="shared" si="170"/>
        <v>0</v>
      </c>
      <c r="AY225">
        <f t="shared" si="171"/>
        <v>0</v>
      </c>
    </row>
    <row r="226" spans="14:51" x14ac:dyDescent="0.3">
      <c r="N226" s="170">
        <v>8</v>
      </c>
      <c r="O226" s="199">
        <f t="shared" si="172"/>
        <v>1202.2644346174138</v>
      </c>
      <c r="P226" s="189" t="str">
        <f t="shared" si="138"/>
        <v>108.75</v>
      </c>
      <c r="Q226" s="160" t="str">
        <f t="shared" si="139"/>
        <v>1+19.1721794861072i</v>
      </c>
      <c r="R226" s="160">
        <f t="shared" si="147"/>
        <v>19.198241227974759</v>
      </c>
      <c r="S226" s="160">
        <f t="shared" si="148"/>
        <v>1.518684639259587</v>
      </c>
      <c r="T226" s="160" t="str">
        <f t="shared" si="140"/>
        <v>1+0.000710080721707676i</v>
      </c>
      <c r="U226" s="160">
        <f t="shared" si="149"/>
        <v>1.0000002521072839</v>
      </c>
      <c r="V226" s="160">
        <f t="shared" si="150"/>
        <v>7.1008060236334907E-4</v>
      </c>
      <c r="W226" s="98" t="str">
        <f t="shared" si="141"/>
        <v>1-0.00564035750576311i</v>
      </c>
      <c r="X226" s="160">
        <f t="shared" si="151"/>
        <v>1.000015906689885</v>
      </c>
      <c r="Y226" s="160">
        <f t="shared" si="152"/>
        <v>-5.6402976934839767E-3</v>
      </c>
      <c r="Z226" s="98" t="str">
        <f t="shared" si="142"/>
        <v>0.999970802883055+0.0108797122002244i</v>
      </c>
      <c r="AA226" s="160">
        <f t="shared" si="153"/>
        <v>1.0000299869284628</v>
      </c>
      <c r="AB226" s="160">
        <f t="shared" si="154"/>
        <v>1.0879600588191776E-2</v>
      </c>
      <c r="AC226" s="171" t="str">
        <f t="shared" si="155"/>
        <v>0.205586891424634-5.66077105865922i</v>
      </c>
      <c r="AD226" s="190">
        <f t="shared" si="156"/>
        <v>15.063236319116911</v>
      </c>
      <c r="AE226" s="169">
        <f t="shared" si="157"/>
        <v>-87.920056068818184</v>
      </c>
      <c r="AF226" s="98" t="str">
        <f t="shared" si="143"/>
        <v>-0.0000366300366300366</v>
      </c>
      <c r="AG226" s="98" t="str">
        <f t="shared" si="144"/>
        <v>0.000521229465934357i</v>
      </c>
      <c r="AH226" s="98">
        <f t="shared" si="158"/>
        <v>5.2122946593435697E-4</v>
      </c>
      <c r="AI226" s="98">
        <f t="shared" si="159"/>
        <v>1.5707963267948966</v>
      </c>
      <c r="AJ226" s="98" t="str">
        <f t="shared" si="145"/>
        <v>1+0.0744457124207862i</v>
      </c>
      <c r="AK226" s="98">
        <f t="shared" si="160"/>
        <v>1.0027672532037724</v>
      </c>
      <c r="AL226" s="98">
        <f t="shared" si="161"/>
        <v>7.430863782861763E-2</v>
      </c>
      <c r="AM226" s="98" t="str">
        <f t="shared" si="146"/>
        <v>1+5.13675415703423i</v>
      </c>
      <c r="AN226" s="98">
        <f t="shared" si="162"/>
        <v>5.2331867222380319</v>
      </c>
      <c r="AO226" s="98">
        <f t="shared" si="163"/>
        <v>1.3785257157704984</v>
      </c>
      <c r="AP226" s="168" t="str">
        <f t="shared" si="164"/>
        <v>-0.353799089462235+0.0966150452910032i</v>
      </c>
      <c r="AQ226" s="98">
        <f t="shared" si="165"/>
        <v>-8.7125103665416113</v>
      </c>
      <c r="AR226" s="169">
        <f t="shared" si="166"/>
        <v>164.72613413495449</v>
      </c>
      <c r="AS226" s="168" t="str">
        <f t="shared" si="167"/>
        <v>0.474179197222954+2.02263843303403i</v>
      </c>
      <c r="AT226" s="190">
        <f t="shared" si="168"/>
        <v>6.3507259525752948</v>
      </c>
      <c r="AU226" s="169">
        <f t="shared" si="169"/>
        <v>76.806078066136294</v>
      </c>
      <c r="AV226" s="225"/>
      <c r="AX226">
        <f t="shared" si="170"/>
        <v>0</v>
      </c>
      <c r="AY226">
        <f t="shared" si="171"/>
        <v>0</v>
      </c>
    </row>
    <row r="227" spans="14:51" x14ac:dyDescent="0.3">
      <c r="N227" s="170">
        <v>9</v>
      </c>
      <c r="O227" s="199">
        <f t="shared" si="172"/>
        <v>1230.2687708123824</v>
      </c>
      <c r="P227" s="189" t="str">
        <f t="shared" si="138"/>
        <v>108.75</v>
      </c>
      <c r="Q227" s="160" t="str">
        <f t="shared" si="139"/>
        <v>1+19.6187569148823i</v>
      </c>
      <c r="R227" s="160">
        <f t="shared" si="147"/>
        <v>19.644226197161398</v>
      </c>
      <c r="S227" s="160">
        <f t="shared" si="148"/>
        <v>1.5198687723014963</v>
      </c>
      <c r="T227" s="160" t="str">
        <f t="shared" si="140"/>
        <v>1+0.000726620626477125i</v>
      </c>
      <c r="U227" s="160">
        <f t="shared" si="149"/>
        <v>1.0000002639887327</v>
      </c>
      <c r="V227" s="160">
        <f t="shared" si="150"/>
        <v>7.2662049859737647E-4</v>
      </c>
      <c r="W227" s="98" t="str">
        <f t="shared" si="141"/>
        <v>1-0.00577173830960554i</v>
      </c>
      <c r="X227" s="160">
        <f t="shared" si="151"/>
        <v>1.0000166563428403</v>
      </c>
      <c r="Y227" s="160">
        <f t="shared" si="152"/>
        <v>-5.7716742196514126E-3</v>
      </c>
      <c r="Z227" s="98" t="str">
        <f t="shared" si="142"/>
        <v>0.999969426865326+0.011133133252521i</v>
      </c>
      <c r="AA227" s="160">
        <f t="shared" si="153"/>
        <v>1.0000314001677082</v>
      </c>
      <c r="AB227" s="160">
        <f t="shared" si="154"/>
        <v>1.1133013658182495E-2</v>
      </c>
      <c r="AC227" s="171" t="str">
        <f t="shared" si="155"/>
        <v>0.192330890664439-5.532555599883i</v>
      </c>
      <c r="AD227" s="190">
        <f t="shared" si="156"/>
        <v>14.863761020263937</v>
      </c>
      <c r="AE227" s="169">
        <f t="shared" si="157"/>
        <v>-88.009001048114186</v>
      </c>
      <c r="AF227" s="98" t="str">
        <f t="shared" si="143"/>
        <v>-0.0000366300366300366</v>
      </c>
      <c r="AG227" s="98" t="str">
        <f t="shared" si="144"/>
        <v>0.000533370459860867i</v>
      </c>
      <c r="AH227" s="98">
        <f t="shared" si="158"/>
        <v>5.3337045986086697E-4</v>
      </c>
      <c r="AI227" s="98">
        <f t="shared" si="159"/>
        <v>1.5707963267948966</v>
      </c>
      <c r="AJ227" s="98" t="str">
        <f t="shared" si="145"/>
        <v>1+0.0761797758255388i</v>
      </c>
      <c r="AK227" s="98">
        <f t="shared" si="160"/>
        <v>1.002897481423116</v>
      </c>
      <c r="AL227" s="98">
        <f t="shared" si="161"/>
        <v>7.6032920662555306E-2</v>
      </c>
      <c r="AM227" s="98" t="str">
        <f t="shared" si="146"/>
        <v>1+5.25640453196216i</v>
      </c>
      <c r="AN227" s="98">
        <f t="shared" si="162"/>
        <v>5.3506811345502854</v>
      </c>
      <c r="AO227" s="98">
        <f t="shared" si="163"/>
        <v>1.3827987865247398</v>
      </c>
      <c r="AP227" s="168" t="str">
        <f t="shared" si="164"/>
        <v>-0.353707212406327+0.0956218741027267i</v>
      </c>
      <c r="AQ227" s="98">
        <f t="shared" si="165"/>
        <v>-8.7207815231774095</v>
      </c>
      <c r="AR227" s="169">
        <f t="shared" si="166"/>
        <v>164.87216892566178</v>
      </c>
      <c r="AS227" s="168" t="str">
        <f t="shared" si="167"/>
        <v>0.461004511841803+1.97529585893081i</v>
      </c>
      <c r="AT227" s="190">
        <f t="shared" si="168"/>
        <v>6.1429794970865235</v>
      </c>
      <c r="AU227" s="169">
        <f t="shared" si="169"/>
        <v>76.86316787754761</v>
      </c>
      <c r="AV227" s="225"/>
      <c r="AX227">
        <f t="shared" si="170"/>
        <v>0</v>
      </c>
      <c r="AY227">
        <f t="shared" si="171"/>
        <v>0</v>
      </c>
    </row>
    <row r="228" spans="14:51" x14ac:dyDescent="0.3">
      <c r="N228" s="170">
        <v>10</v>
      </c>
      <c r="O228" s="199">
        <f t="shared" si="172"/>
        <v>1258.925411794168</v>
      </c>
      <c r="P228" s="189" t="str">
        <f t="shared" si="138"/>
        <v>108.75</v>
      </c>
      <c r="Q228" s="160" t="str">
        <f t="shared" si="139"/>
        <v>1+20.0757364682587i</v>
      </c>
      <c r="R228" s="160">
        <f t="shared" si="147"/>
        <v>20.100626725129054</v>
      </c>
      <c r="S228" s="160">
        <f t="shared" si="148"/>
        <v>1.5210260893236702</v>
      </c>
      <c r="T228" s="160" t="str">
        <f t="shared" si="140"/>
        <v>1+0.000743545795120694i</v>
      </c>
      <c r="U228" s="160">
        <f t="shared" si="149"/>
        <v>1.0000002764301366</v>
      </c>
      <c r="V228" s="160">
        <f t="shared" si="150"/>
        <v>7.4354565809507678E-4</v>
      </c>
      <c r="W228" s="98" t="str">
        <f t="shared" si="141"/>
        <v>1-0.00590617936549772i</v>
      </c>
      <c r="X228" s="160">
        <f t="shared" si="151"/>
        <v>1.0000174413252487</v>
      </c>
      <c r="Y228" s="160">
        <f t="shared" si="152"/>
        <v>-5.9061106919392889E-3</v>
      </c>
      <c r="Z228" s="98" t="str">
        <f t="shared" si="142"/>
        <v>0.99996798599788+0.0113924572394326i</v>
      </c>
      <c r="AA228" s="160">
        <f t="shared" si="153"/>
        <v>1.0000328800107567</v>
      </c>
      <c r="AB228" s="160">
        <f t="shared" si="154"/>
        <v>1.1392329091912554E-2</v>
      </c>
      <c r="AC228" s="171" t="str">
        <f t="shared" si="155"/>
        <v>0.179668511095249-5.40721288745939i</v>
      </c>
      <c r="AD228" s="190">
        <f t="shared" si="156"/>
        <v>14.664261644923045</v>
      </c>
      <c r="AE228" s="169">
        <f t="shared" si="157"/>
        <v>-88.096901011226649</v>
      </c>
      <c r="AF228" s="98" t="str">
        <f t="shared" si="143"/>
        <v>-0.0000366300366300366</v>
      </c>
      <c r="AG228" s="98" t="str">
        <f t="shared" si="144"/>
        <v>0.000545794253865189i</v>
      </c>
      <c r="AH228" s="98">
        <f t="shared" si="158"/>
        <v>5.4579425386518902E-4</v>
      </c>
      <c r="AI228" s="98">
        <f t="shared" si="159"/>
        <v>1.5707963267948966</v>
      </c>
      <c r="AJ228" s="98" t="str">
        <f t="shared" si="145"/>
        <v>1+0.0779542307557927i</v>
      </c>
      <c r="AK228" s="98">
        <f t="shared" si="160"/>
        <v>1.0030338289872018</v>
      </c>
      <c r="AL228" s="98">
        <f t="shared" si="161"/>
        <v>7.7796898307895115E-2</v>
      </c>
      <c r="AM228" s="98" t="str">
        <f t="shared" si="146"/>
        <v>1+5.37884192214968i</v>
      </c>
      <c r="AN228" s="98">
        <f t="shared" si="162"/>
        <v>5.4710090864003202</v>
      </c>
      <c r="AO228" s="98">
        <f t="shared" si="163"/>
        <v>1.3869813142002136</v>
      </c>
      <c r="AP228" s="168" t="str">
        <f t="shared" si="164"/>
        <v>-0.353611056449195+0.0946787469870157i</v>
      </c>
      <c r="AQ228" s="98">
        <f t="shared" si="165"/>
        <v>-8.7287950128495808</v>
      </c>
      <c r="AR228" s="169">
        <f t="shared" si="166"/>
        <v>165.01074163492973</v>
      </c>
      <c r="AS228" s="168" t="str">
        <f t="shared" si="167"/>
        <v>0.448415368857653+1.92906105108374i</v>
      </c>
      <c r="AT228" s="190">
        <f t="shared" si="168"/>
        <v>5.9354666320734717</v>
      </c>
      <c r="AU228" s="169">
        <f t="shared" si="169"/>
        <v>76.913840623703095</v>
      </c>
      <c r="AV228" s="225"/>
      <c r="AX228">
        <f t="shared" si="170"/>
        <v>0</v>
      </c>
      <c r="AY228">
        <f t="shared" si="171"/>
        <v>0</v>
      </c>
    </row>
    <row r="229" spans="14:51" x14ac:dyDescent="0.3">
      <c r="N229" s="170">
        <v>11</v>
      </c>
      <c r="O229" s="199">
        <f t="shared" si="172"/>
        <v>1288.2495516931347</v>
      </c>
      <c r="P229" s="189" t="str">
        <f t="shared" si="138"/>
        <v>108.75</v>
      </c>
      <c r="Q229" s="160" t="str">
        <f t="shared" si="139"/>
        <v>1+20.5433604428443i</v>
      </c>
      <c r="R229" s="160">
        <f t="shared" si="147"/>
        <v>20.567684806137514</v>
      </c>
      <c r="S229" s="160">
        <f t="shared" si="148"/>
        <v>1.5221571915431478</v>
      </c>
      <c r="T229" s="160" t="str">
        <f t="shared" si="140"/>
        <v>1+0.000760865201586827i</v>
      </c>
      <c r="U229" s="160">
        <f t="shared" si="149"/>
        <v>1.0000002894578857</v>
      </c>
      <c r="V229" s="160">
        <f t="shared" si="150"/>
        <v>7.6086505476123504E-4</v>
      </c>
      <c r="W229" s="98" t="str">
        <f t="shared" si="141"/>
        <v>1-0.006043751955867i</v>
      </c>
      <c r="X229" s="160">
        <f t="shared" si="151"/>
        <v>1.000018263302078</v>
      </c>
      <c r="Y229" s="160">
        <f t="shared" si="152"/>
        <v>-6.0436783708959635E-3</v>
      </c>
      <c r="Z229" s="98" t="str">
        <f t="shared" si="142"/>
        <v>0.999966477224443+0.0116578216579695i</v>
      </c>
      <c r="AA229" s="160">
        <f t="shared" si="153"/>
        <v>1.0000344295965373</v>
      </c>
      <c r="AB229" s="160">
        <f t="shared" si="154"/>
        <v>1.1657684345565253E-2</v>
      </c>
      <c r="AC229" s="171" t="str">
        <f t="shared" si="155"/>
        <v>0.16757330160135-5.28468049386751i</v>
      </c>
      <c r="AD229" s="190">
        <f t="shared" si="156"/>
        <v>14.464739246830334</v>
      </c>
      <c r="AE229" s="169">
        <f t="shared" si="157"/>
        <v>-88.183801849775463</v>
      </c>
      <c r="AF229" s="98" t="str">
        <f t="shared" si="143"/>
        <v>-0.0000366300366300366</v>
      </c>
      <c r="AG229" s="98" t="str">
        <f t="shared" si="144"/>
        <v>0.00055850743520735i</v>
      </c>
      <c r="AH229" s="98">
        <f t="shared" si="158"/>
        <v>5.5850743520734995E-4</v>
      </c>
      <c r="AI229" s="98">
        <f t="shared" si="159"/>
        <v>1.5707963267948966</v>
      </c>
      <c r="AJ229" s="98" t="str">
        <f t="shared" si="145"/>
        <v>1+0.0797700180510394i</v>
      </c>
      <c r="AK229" s="98">
        <f t="shared" si="160"/>
        <v>1.0031765825515782</v>
      </c>
      <c r="AL229" s="98">
        <f t="shared" si="161"/>
        <v>7.9601462113805935E-2</v>
      </c>
      <c r="AM229" s="98" t="str">
        <f t="shared" si="146"/>
        <v>1+5.5041312455217i</v>
      </c>
      <c r="AN229" s="98">
        <f t="shared" si="162"/>
        <v>5.5942346007231638</v>
      </c>
      <c r="AO229" s="98">
        <f t="shared" si="163"/>
        <v>1.3910749308057724</v>
      </c>
      <c r="AP229" s="168" t="str">
        <f t="shared" si="164"/>
        <v>-0.353510424819725+0.093785117548538i</v>
      </c>
      <c r="AQ229" s="98">
        <f t="shared" si="165"/>
        <v>-8.7365663363097354</v>
      </c>
      <c r="AR229" s="169">
        <f t="shared" si="166"/>
        <v>165.14189469943219</v>
      </c>
      <c r="AS229" s="168" t="str">
        <f t="shared" si="167"/>
        <v>0.436385472286293+1.8839055282123i</v>
      </c>
      <c r="AT229" s="190">
        <f t="shared" si="168"/>
        <v>5.7281729105206143</v>
      </c>
      <c r="AU229" s="169">
        <f t="shared" si="169"/>
        <v>76.958092849656765</v>
      </c>
      <c r="AV229" s="225"/>
      <c r="AX229">
        <f t="shared" si="170"/>
        <v>0</v>
      </c>
      <c r="AY229">
        <f t="shared" si="171"/>
        <v>0</v>
      </c>
    </row>
    <row r="230" spans="14:51" x14ac:dyDescent="0.3">
      <c r="N230" s="170">
        <v>12</v>
      </c>
      <c r="O230" s="199">
        <f t="shared" si="172"/>
        <v>1318.2567385564089</v>
      </c>
      <c r="P230" s="189" t="str">
        <f t="shared" si="138"/>
        <v>108.75</v>
      </c>
      <c r="Q230" s="160" t="str">
        <f t="shared" si="139"/>
        <v>1+21.0218767790602i</v>
      </c>
      <c r="R230" s="160">
        <f t="shared" si="147"/>
        <v>21.045648084912717</v>
      </c>
      <c r="S230" s="160">
        <f t="shared" si="148"/>
        <v>1.5232626671017342</v>
      </c>
      <c r="T230" s="160" t="str">
        <f t="shared" si="140"/>
        <v>1+0.000778588028854084i</v>
      </c>
      <c r="U230" s="160">
        <f t="shared" si="149"/>
        <v>1.0000003030996134</v>
      </c>
      <c r="V230" s="160">
        <f t="shared" si="150"/>
        <v>7.7858787152763041E-4</v>
      </c>
      <c r="W230" s="98" t="str">
        <f t="shared" si="141"/>
        <v>1-0.00618452902352181i</v>
      </c>
      <c r="X230" s="160">
        <f t="shared" si="151"/>
        <v>1.0000191240167573</v>
      </c>
      <c r="Y230" s="160">
        <f t="shared" si="152"/>
        <v>-6.184450175886206E-3</v>
      </c>
      <c r="Z230" s="98" t="str">
        <f t="shared" si="142"/>
        <v>0.999964897344704+0.011929367207859i</v>
      </c>
      <c r="AA230" s="160">
        <f t="shared" si="153"/>
        <v>1.0000360522119112</v>
      </c>
      <c r="AB230" s="160">
        <f t="shared" si="154"/>
        <v>1.1929220075121176E-2</v>
      </c>
      <c r="AC230" s="171" t="str">
        <f t="shared" si="155"/>
        <v>0.156019978425848-5.1648972147639i</v>
      </c>
      <c r="AD230" s="190">
        <f t="shared" si="156"/>
        <v>14.265194831602861</v>
      </c>
      <c r="AE230" s="169">
        <f t="shared" si="157"/>
        <v>-88.269748972626473</v>
      </c>
      <c r="AF230" s="98" t="str">
        <f t="shared" si="143"/>
        <v>-0.0000366300366300366</v>
      </c>
      <c r="AG230" s="98" t="str">
        <f t="shared" si="144"/>
        <v>0.00057151674458438i</v>
      </c>
      <c r="AH230" s="98">
        <f t="shared" si="158"/>
        <v>5.7151674458438004E-4</v>
      </c>
      <c r="AI230" s="98">
        <f t="shared" si="159"/>
        <v>1.5707963267948966</v>
      </c>
      <c r="AJ230" s="98" t="str">
        <f t="shared" si="145"/>
        <v>1+0.081628100465738i</v>
      </c>
      <c r="AK230" s="98">
        <f t="shared" si="160"/>
        <v>1.0033260421147479</v>
      </c>
      <c r="AL230" s="98">
        <f t="shared" si="161"/>
        <v>8.1447521845879903E-2</v>
      </c>
      <c r="AM230" s="98" t="str">
        <f t="shared" si="146"/>
        <v>1+5.63233893213591i</v>
      </c>
      <c r="AN230" s="98">
        <f t="shared" si="162"/>
        <v>5.7204232226692699</v>
      </c>
      <c r="AO230" s="98">
        <f t="shared" si="163"/>
        <v>1.395081257765173</v>
      </c>
      <c r="AP230" s="168" t="str">
        <f t="shared" si="164"/>
        <v>-0.35340511193806+0.0929404623915574i</v>
      </c>
      <c r="AQ230" s="98">
        <f t="shared" si="165"/>
        <v>-8.7441105987959951</v>
      </c>
      <c r="AR230" s="169">
        <f t="shared" si="166"/>
        <v>165.26566889417842</v>
      </c>
      <c r="AS230" s="168" t="str">
        <f t="shared" si="167"/>
        <v>0.424889677404863+1.83980164726943i</v>
      </c>
      <c r="AT230" s="190">
        <f t="shared" si="168"/>
        <v>5.5210842328068708</v>
      </c>
      <c r="AU230" s="169">
        <f t="shared" si="169"/>
        <v>76.995919921551973</v>
      </c>
      <c r="AV230" s="225"/>
      <c r="AX230">
        <f t="shared" si="170"/>
        <v>0</v>
      </c>
      <c r="AY230">
        <f t="shared" si="171"/>
        <v>0</v>
      </c>
    </row>
    <row r="231" spans="14:51" x14ac:dyDescent="0.3">
      <c r="N231" s="170">
        <v>13</v>
      </c>
      <c r="O231" s="199">
        <f t="shared" si="172"/>
        <v>1348.9628825916541</v>
      </c>
      <c r="P231" s="189" t="str">
        <f t="shared" si="138"/>
        <v>108.75</v>
      </c>
      <c r="Q231" s="160" t="str">
        <f t="shared" si="139"/>
        <v>1+21.5115391926018i</v>
      </c>
      <c r="R231" s="160">
        <f t="shared" si="147"/>
        <v>21.534769987971625</v>
      </c>
      <c r="S231" s="160">
        <f t="shared" si="148"/>
        <v>1.5243430913232567</v>
      </c>
      <c r="T231" s="160" t="str">
        <f t="shared" si="140"/>
        <v>1+0.000796723673800069i</v>
      </c>
      <c r="U231" s="160">
        <f t="shared" si="149"/>
        <v>1.0000003173842558</v>
      </c>
      <c r="V231" s="160">
        <f t="shared" si="150"/>
        <v>7.9672350522173949E-4</v>
      </c>
      <c r="W231" s="98" t="str">
        <f t="shared" si="141"/>
        <v>1-0.00632858521032679i</v>
      </c>
      <c r="X231" s="160">
        <f t="shared" si="151"/>
        <v>1.0000200252948759</v>
      </c>
      <c r="Y231" s="160">
        <f t="shared" si="152"/>
        <v>-6.3285007236544427E-3</v>
      </c>
      <c r="Z231" s="98" t="str">
        <f t="shared" si="142"/>
        <v>0.999963243007527+0.0122072378661459i</v>
      </c>
      <c r="AA231" s="160">
        <f t="shared" si="153"/>
        <v>1.0000377512986454</v>
      </c>
      <c r="AB231" s="160">
        <f t="shared" si="154"/>
        <v>1.2207080210749873E-2</v>
      </c>
      <c r="AC231" s="171" t="str">
        <f t="shared" si="155"/>
        <v>0.144984374658515-5.04780305411287i</v>
      </c>
      <c r="AD231" s="190">
        <f t="shared" si="156"/>
        <v>14.065629358809462</v>
      </c>
      <c r="AE231" s="169">
        <f t="shared" si="157"/>
        <v>-88.354787326824081</v>
      </c>
      <c r="AF231" s="98" t="str">
        <f t="shared" si="143"/>
        <v>-0.0000366300366300366</v>
      </c>
      <c r="AG231" s="98" t="str">
        <f t="shared" si="144"/>
        <v>0.000584829079704305i</v>
      </c>
      <c r="AH231" s="98">
        <f t="shared" si="158"/>
        <v>5.8482907970430504E-4</v>
      </c>
      <c r="AI231" s="98">
        <f t="shared" si="159"/>
        <v>1.5707963267948966</v>
      </c>
      <c r="AJ231" s="98" t="str">
        <f t="shared" si="145"/>
        <v>1+0.083529463179779i</v>
      </c>
      <c r="AK231" s="98">
        <f t="shared" si="160"/>
        <v>1.0034825216310954</v>
      </c>
      <c r="AL231" s="98">
        <f t="shared" si="161"/>
        <v>8.3336005951330491E-2</v>
      </c>
      <c r="AM231" s="98" t="str">
        <f t="shared" si="146"/>
        <v>1+5.76353295940473i</v>
      </c>
      <c r="AN231" s="98">
        <f t="shared" si="162"/>
        <v>5.8496420552154005</v>
      </c>
      <c r="AO231" s="98">
        <f t="shared" si="163"/>
        <v>1.3990019045983775</v>
      </c>
      <c r="AP231" s="168" t="str">
        <f t="shared" si="164"/>
        <v>-0.353294903044324+0.0921442806186893i</v>
      </c>
      <c r="AQ231" s="98">
        <f t="shared" si="165"/>
        <v>-8.7514425315765845</v>
      </c>
      <c r="AR231" s="169">
        <f t="shared" si="166"/>
        <v>165.38210324176254</v>
      </c>
      <c r="AS231" s="168" t="str">
        <f t="shared" si="167"/>
        <v>0.413903940538131+1.79672257149351i</v>
      </c>
      <c r="AT231" s="190">
        <f t="shared" si="168"/>
        <v>5.314186827232886</v>
      </c>
      <c r="AU231" s="169">
        <f t="shared" si="169"/>
        <v>77.02731591493847</v>
      </c>
      <c r="AV231" s="225"/>
      <c r="AX231">
        <f t="shared" si="170"/>
        <v>0</v>
      </c>
      <c r="AY231">
        <f t="shared" si="171"/>
        <v>0</v>
      </c>
    </row>
    <row r="232" spans="14:51" x14ac:dyDescent="0.3">
      <c r="N232" s="170">
        <v>14</v>
      </c>
      <c r="O232" s="199">
        <f t="shared" si="172"/>
        <v>1380.3842646028863</v>
      </c>
      <c r="P232" s="189" t="str">
        <f t="shared" si="138"/>
        <v>108.75</v>
      </c>
      <c r="Q232" s="160" t="str">
        <f t="shared" si="139"/>
        <v>1+22.0126073089622i</v>
      </c>
      <c r="R232" s="160">
        <f t="shared" si="147"/>
        <v>22.035309858011438</v>
      </c>
      <c r="S232" s="160">
        <f t="shared" si="148"/>
        <v>1.5253990269676256</v>
      </c>
      <c r="T232" s="160" t="str">
        <f t="shared" si="140"/>
        <v>1+0.000815281752183789i</v>
      </c>
      <c r="U232" s="160">
        <f t="shared" si="149"/>
        <v>1.0000003323421125</v>
      </c>
      <c r="V232" s="160">
        <f t="shared" si="150"/>
        <v>8.1528157154885789E-4</v>
      </c>
      <c r="W232" s="98" t="str">
        <f t="shared" si="141"/>
        <v>1-0.00647599689677904i</v>
      </c>
      <c r="X232" s="160">
        <f t="shared" si="151"/>
        <v>1.000020969048053</v>
      </c>
      <c r="Y232" s="160">
        <f t="shared" si="152"/>
        <v>-6.4759063677811077E-3</v>
      </c>
      <c r="Z232" s="98" t="str">
        <f t="shared" si="142"/>
        <v>0.999961510703841+0.0124915809635314i</v>
      </c>
      <c r="AA232" s="160">
        <f t="shared" si="153"/>
        <v>1.0000395304607097</v>
      </c>
      <c r="AB232" s="160">
        <f t="shared" si="154"/>
        <v>1.2491412032925068E-2</v>
      </c>
      <c r="AC232" s="171" t="str">
        <f t="shared" si="155"/>
        <v>0.134443391821039-4.93333920880884i</v>
      </c>
      <c r="AD232" s="190">
        <f t="shared" si="156"/>
        <v>13.866043743948904</v>
      </c>
      <c r="AE232" s="169">
        <f t="shared" si="157"/>
        <v>-88.438961418484141</v>
      </c>
      <c r="AF232" s="98" t="str">
        <f t="shared" si="143"/>
        <v>-0.0000366300366300366</v>
      </c>
      <c r="AG232" s="98" t="str">
        <f t="shared" si="144"/>
        <v>0.000598451498943418i</v>
      </c>
      <c r="AH232" s="98">
        <f t="shared" si="158"/>
        <v>5.98451498943418E-4</v>
      </c>
      <c r="AI232" s="98">
        <f t="shared" si="159"/>
        <v>1.5707963267948966</v>
      </c>
      <c r="AJ232" s="98" t="str">
        <f t="shared" si="145"/>
        <v>1+0.0854751143208411i</v>
      </c>
      <c r="AK232" s="98">
        <f t="shared" si="160"/>
        <v>1.0036463496511911</v>
      </c>
      <c r="AL232" s="98">
        <f t="shared" si="161"/>
        <v>8.5267861819136981E-2</v>
      </c>
      <c r="AM232" s="98" t="str">
        <f t="shared" si="146"/>
        <v>1+5.89778288813802i</v>
      </c>
      <c r="AN232" s="98">
        <f t="shared" si="162"/>
        <v>5.9819597955530961</v>
      </c>
      <c r="AO232" s="98">
        <f t="shared" si="163"/>
        <v>1.4028384677154451</v>
      </c>
      <c r="AP232" s="168" t="str">
        <f t="shared" si="164"/>
        <v>-0.353179573813923+0.0913960933265761i</v>
      </c>
      <c r="AQ232" s="98">
        <f t="shared" si="165"/>
        <v>-8.7585765134677942</v>
      </c>
      <c r="AR232" s="169">
        <f t="shared" si="166"/>
        <v>165.49123492835315</v>
      </c>
      <c r="AS232" s="168" t="str">
        <f t="shared" si="167"/>
        <v>0.403405270914497+1.75464224003264i</v>
      </c>
      <c r="AT232" s="190">
        <f t="shared" si="168"/>
        <v>5.107467230481114</v>
      </c>
      <c r="AU232" s="169">
        <f t="shared" si="169"/>
        <v>77.052273509869025</v>
      </c>
      <c r="AV232" s="225"/>
      <c r="AX232">
        <f t="shared" si="170"/>
        <v>0</v>
      </c>
      <c r="AY232">
        <f t="shared" si="171"/>
        <v>0</v>
      </c>
    </row>
    <row r="233" spans="14:51" x14ac:dyDescent="0.3">
      <c r="N233" s="170">
        <v>15</v>
      </c>
      <c r="O233" s="199">
        <f t="shared" si="172"/>
        <v>1412.5375446227545</v>
      </c>
      <c r="P233" s="189" t="str">
        <f t="shared" si="138"/>
        <v>108.75</v>
      </c>
      <c r="Q233" s="160" t="str">
        <f t="shared" si="139"/>
        <v>1+22.5253468010891i</v>
      </c>
      <c r="R233" s="160">
        <f t="shared" si="147"/>
        <v>22.547533091434524</v>
      </c>
      <c r="S233" s="160">
        <f t="shared" si="148"/>
        <v>1.5264310244815906</v>
      </c>
      <c r="T233" s="160" t="str">
        <f t="shared" si="140"/>
        <v>1+0.000834272103744045i</v>
      </c>
      <c r="U233" s="160">
        <f t="shared" si="149"/>
        <v>1.0000003480049109</v>
      </c>
      <c r="V233" s="160">
        <f t="shared" si="150"/>
        <v>8.3427191019023268E-4</v>
      </c>
      <c r="W233" s="98" t="str">
        <f t="shared" si="141"/>
        <v>1-0.00662684224250589i</v>
      </c>
      <c r="X233" s="160">
        <f t="shared" si="151"/>
        <v>1.0000219572779925</v>
      </c>
      <c r="Y233" s="160">
        <f t="shared" si="152"/>
        <v>-6.6267452390519543E-3</v>
      </c>
      <c r="Z233" s="98" t="str">
        <f t="shared" si="142"/>
        <v>0.999959696759198+0.0127825472624894i</v>
      </c>
      <c r="AA233" s="160">
        <f t="shared" si="153"/>
        <v>1.0000413934719228</v>
      </c>
      <c r="AB233" s="160">
        <f t="shared" si="154"/>
        <v>1.2782366250301234E-2</v>
      </c>
      <c r="AC233" s="171" t="str">
        <f t="shared" si="155"/>
        <v>0.124374953470547-4.82144805285668i</v>
      </c>
      <c r="AD233" s="190">
        <f t="shared" si="156"/>
        <v>13.666438860339431</v>
      </c>
      <c r="AE233" s="169">
        <f t="shared" si="157"/>
        <v>-88.522315333644173</v>
      </c>
      <c r="AF233" s="98" t="str">
        <f t="shared" si="143"/>
        <v>-0.0000366300366300366</v>
      </c>
      <c r="AG233" s="98" t="str">
        <f t="shared" si="144"/>
        <v>0.000612391225088712i</v>
      </c>
      <c r="AH233" s="98">
        <f t="shared" si="158"/>
        <v>6.1239122508871199E-4</v>
      </c>
      <c r="AI233" s="98">
        <f t="shared" si="159"/>
        <v>1.5707963267948966</v>
      </c>
      <c r="AJ233" s="98" t="str">
        <f t="shared" si="145"/>
        <v>1+0.087466085498913i</v>
      </c>
      <c r="AK233" s="98">
        <f t="shared" si="160"/>
        <v>1.0038178699906191</v>
      </c>
      <c r="AL233" s="98">
        <f t="shared" si="161"/>
        <v>8.7244056034266673E-2</v>
      </c>
      <c r="AM233" s="98" t="str">
        <f t="shared" si="146"/>
        <v>1+6.03515989942498i</v>
      </c>
      <c r="AN233" s="98">
        <f t="shared" si="162"/>
        <v>6.1174467722757786</v>
      </c>
      <c r="AO233" s="98">
        <f t="shared" si="163"/>
        <v>1.4065925293170305</v>
      </c>
      <c r="AP233" s="168" t="str">
        <f t="shared" si="164"/>
        <v>-0.353058889959184+0.0906954430972626i</v>
      </c>
      <c r="AQ233" s="98">
        <f t="shared" si="165"/>
        <v>-8.7655265923070438</v>
      </c>
      <c r="AR233" s="169">
        <f t="shared" si="166"/>
        <v>165.59309922613099</v>
      </c>
      <c r="AS233" s="168" t="str">
        <f t="shared" si="167"/>
        <v>0.393371684513234+1.71353533905266i</v>
      </c>
      <c r="AT233" s="190">
        <f t="shared" si="168"/>
        <v>4.9009122680323784</v>
      </c>
      <c r="AU233" s="169">
        <f t="shared" si="169"/>
        <v>77.070783892486816</v>
      </c>
      <c r="AV233" s="225"/>
      <c r="AX233">
        <f t="shared" si="170"/>
        <v>0</v>
      </c>
      <c r="AY233">
        <f t="shared" si="171"/>
        <v>0</v>
      </c>
    </row>
    <row r="234" spans="14:51" x14ac:dyDescent="0.3">
      <c r="N234" s="170">
        <v>16</v>
      </c>
      <c r="O234" s="199">
        <f t="shared" si="172"/>
        <v>1445.4397707459289</v>
      </c>
      <c r="P234" s="189" t="str">
        <f t="shared" si="138"/>
        <v>108.75</v>
      </c>
      <c r="Q234" s="160" t="str">
        <f t="shared" si="139"/>
        <v>1+23.0500295302482i</v>
      </c>
      <c r="R234" s="160">
        <f t="shared" si="147"/>
        <v>23.071711279081878</v>
      </c>
      <c r="S234" s="160">
        <f t="shared" si="148"/>
        <v>1.5274396222461151</v>
      </c>
      <c r="T234" s="160" t="str">
        <f t="shared" si="140"/>
        <v>1+0.000853704797416604i</v>
      </c>
      <c r="U234" s="160">
        <f t="shared" si="149"/>
        <v>1.0000003644058741</v>
      </c>
      <c r="V234" s="160">
        <f t="shared" si="150"/>
        <v>8.5370459001996165E-4</v>
      </c>
      <c r="W234" s="98" t="str">
        <f t="shared" si="141"/>
        <v>1-0.00678120122770636i</v>
      </c>
      <c r="X234" s="160">
        <f t="shared" si="151"/>
        <v>1.0000229920807275</v>
      </c>
      <c r="Y234" s="160">
        <f t="shared" si="152"/>
        <v>-6.7810972867618615E-3</v>
      </c>
      <c r="Z234" s="98" t="str">
        <f t="shared" si="142"/>
        <v>0.999957797325977+0.0130802910372029i</v>
      </c>
      <c r="AA234" s="160">
        <f t="shared" si="153"/>
        <v>1.0000433442839551</v>
      </c>
      <c r="AB234" s="160">
        <f t="shared" si="154"/>
        <v>1.3080097079393142E-2</v>
      </c>
      <c r="AC234" s="171" t="str">
        <f t="shared" si="155"/>
        <v>0.114757960744495-4.71207312117125i</v>
      </c>
      <c r="AD234" s="190">
        <f t="shared" si="156"/>
        <v>13.466815540923712</v>
      </c>
      <c r="AE234" s="169">
        <f t="shared" si="157"/>
        <v>-88.604892759069756</v>
      </c>
      <c r="AF234" s="98" t="str">
        <f t="shared" si="143"/>
        <v>-0.0000366300366300366</v>
      </c>
      <c r="AG234" s="98" t="str">
        <f t="shared" si="144"/>
        <v>0.000626655649167506i</v>
      </c>
      <c r="AH234" s="98">
        <f t="shared" si="158"/>
        <v>6.2665564916750604E-4</v>
      </c>
      <c r="AI234" s="98">
        <f t="shared" si="159"/>
        <v>1.5707963267948966</v>
      </c>
      <c r="AJ234" s="98" t="str">
        <f t="shared" si="145"/>
        <v>1+0.089503432353267i</v>
      </c>
      <c r="AK234" s="98">
        <f t="shared" si="160"/>
        <v>1.0039974424285232</v>
      </c>
      <c r="AL234" s="98">
        <f t="shared" si="161"/>
        <v>8.9265574625047403E-2</v>
      </c>
      <c r="AM234" s="98" t="str">
        <f t="shared" si="146"/>
        <v>1+6.17573683237541i</v>
      </c>
      <c r="AN234" s="98">
        <f t="shared" si="162"/>
        <v>6.2561749833870737</v>
      </c>
      <c r="AO234" s="98">
        <f t="shared" si="163"/>
        <v>1.4102656563957034</v>
      </c>
      <c r="AP234" s="168" t="str">
        <f t="shared" si="164"/>
        <v>-0.352932606817086+0.0900418934839893i</v>
      </c>
      <c r="AQ234" s="98">
        <f t="shared" si="165"/>
        <v>-8.7723065063661743</v>
      </c>
      <c r="AR234" s="169">
        <f t="shared" si="166"/>
        <v>165.6877294218952</v>
      </c>
      <c r="AS234" s="168" t="str">
        <f t="shared" si="167"/>
        <v>0.383782159826703+1.67337727424549i</v>
      </c>
      <c r="AT234" s="190">
        <f t="shared" si="168"/>
        <v>4.6945090345575471</v>
      </c>
      <c r="AU234" s="169">
        <f t="shared" si="169"/>
        <v>77.0828366628255</v>
      </c>
      <c r="AV234" s="225"/>
      <c r="AX234">
        <f t="shared" si="170"/>
        <v>0</v>
      </c>
      <c r="AY234">
        <f t="shared" si="171"/>
        <v>0</v>
      </c>
    </row>
    <row r="235" spans="14:51" x14ac:dyDescent="0.3">
      <c r="N235" s="170">
        <v>17</v>
      </c>
      <c r="O235" s="199">
        <f t="shared" si="172"/>
        <v>1479.1083881682086</v>
      </c>
      <c r="P235" s="189" t="str">
        <f t="shared" si="138"/>
        <v>108.75</v>
      </c>
      <c r="Q235" s="160" t="str">
        <f t="shared" si="139"/>
        <v>1+23.5869336901675i</v>
      </c>
      <c r="R235" s="160">
        <f t="shared" si="147"/>
        <v>23.608122350249683</v>
      </c>
      <c r="S235" s="160">
        <f t="shared" si="148"/>
        <v>1.5284253468202844</v>
      </c>
      <c r="T235" s="160" t="str">
        <f t="shared" si="140"/>
        <v>1+0.000873590136672872i</v>
      </c>
      <c r="U235" s="160">
        <f t="shared" si="149"/>
        <v>1.0000003815797907</v>
      </c>
      <c r="V235" s="160">
        <f t="shared" si="150"/>
        <v>8.7358991444337034E-4</v>
      </c>
      <c r="W235" s="98" t="str">
        <f t="shared" si="141"/>
        <v>1-0.00693915569555757i</v>
      </c>
      <c r="X235" s="160">
        <f t="shared" si="151"/>
        <v>1.0000240756510652</v>
      </c>
      <c r="Y235" s="160">
        <f t="shared" si="152"/>
        <v>-6.9390443209737503E-3</v>
      </c>
      <c r="Z235" s="98" t="str">
        <f t="shared" si="142"/>
        <v>0.999955808375226+0.0133849701553625i</v>
      </c>
      <c r="AA235" s="160">
        <f t="shared" si="153"/>
        <v>1.0000453870347144</v>
      </c>
      <c r="AB235" s="160">
        <f t="shared" si="154"/>
        <v>1.3384762326099102E-2</v>
      </c>
      <c r="AC235" s="171" t="str">
        <f t="shared" si="155"/>
        <v>0.105572249772279-4.60515909305227i</v>
      </c>
      <c r="AD235" s="190">
        <f t="shared" si="156"/>
        <v>13.267174579992339</v>
      </c>
      <c r="AE235" s="169">
        <f t="shared" si="157"/>
        <v>-88.686737003015793</v>
      </c>
      <c r="AF235" s="98" t="str">
        <f t="shared" si="143"/>
        <v>-0.0000366300366300366</v>
      </c>
      <c r="AG235" s="98" t="str">
        <f t="shared" si="144"/>
        <v>0.000641252334366255i</v>
      </c>
      <c r="AH235" s="98">
        <f t="shared" si="158"/>
        <v>6.4125233436625499E-4</v>
      </c>
      <c r="AI235" s="98">
        <f t="shared" si="159"/>
        <v>1.5707963267948966</v>
      </c>
      <c r="AJ235" s="98" t="str">
        <f t="shared" si="145"/>
        <v>1+0.0915882351121727i</v>
      </c>
      <c r="AK235" s="98">
        <f t="shared" si="160"/>
        <v>1.0041854434370987</v>
      </c>
      <c r="AL235" s="98">
        <f t="shared" si="161"/>
        <v>9.1333423302686859E-2</v>
      </c>
      <c r="AM235" s="98" t="str">
        <f t="shared" si="146"/>
        <v>1+6.3195882227399i</v>
      </c>
      <c r="AN235" s="98">
        <f t="shared" si="162"/>
        <v>6.3982181351523835</v>
      </c>
      <c r="AO235" s="98">
        <f t="shared" si="163"/>
        <v>1.4138593998324571</v>
      </c>
      <c r="AP235" s="168" t="str">
        <f t="shared" si="164"/>
        <v>-0.352800468922879+0.0894350284900688i</v>
      </c>
      <c r="AQ235" s="98">
        <f t="shared" si="165"/>
        <v>-8.7789297056931606</v>
      </c>
      <c r="AR235" s="169">
        <f t="shared" si="166"/>
        <v>165.77515675157363</v>
      </c>
      <c r="AS235" s="168" t="str">
        <f t="shared" si="167"/>
        <v>0.374616595463526+1.63414414465945i</v>
      </c>
      <c r="AT235" s="190">
        <f t="shared" si="168"/>
        <v>4.4882448742992009</v>
      </c>
      <c r="AU235" s="169">
        <f t="shared" si="169"/>
        <v>77.088419748557854</v>
      </c>
      <c r="AV235" s="225"/>
      <c r="AX235">
        <f t="shared" si="170"/>
        <v>0</v>
      </c>
      <c r="AY235">
        <f t="shared" si="171"/>
        <v>0</v>
      </c>
    </row>
    <row r="236" spans="14:51" x14ac:dyDescent="0.3">
      <c r="N236" s="170">
        <v>18</v>
      </c>
      <c r="O236" s="199">
        <f t="shared" si="172"/>
        <v>1513.5612484362093</v>
      </c>
      <c r="P236" s="189" t="str">
        <f t="shared" si="138"/>
        <v>108.75</v>
      </c>
      <c r="Q236" s="160" t="str">
        <f t="shared" si="139"/>
        <v>1+24.1363439545392i</v>
      </c>
      <c r="R236" s="160">
        <f t="shared" si="147"/>
        <v>24.15705072006558</v>
      </c>
      <c r="S236" s="160">
        <f t="shared" si="148"/>
        <v>1.529388713181693</v>
      </c>
      <c r="T236" s="160" t="str">
        <f t="shared" si="140"/>
        <v>1+0.000893938664982936i</v>
      </c>
      <c r="U236" s="160">
        <f t="shared" si="149"/>
        <v>1.0000003995630884</v>
      </c>
      <c r="V236" s="160">
        <f t="shared" si="150"/>
        <v>8.9393842685973988E-4</v>
      </c>
      <c r="W236" s="98" t="str">
        <f t="shared" si="141"/>
        <v>1-0.00710078939560914i</v>
      </c>
      <c r="X236" s="160">
        <f t="shared" si="151"/>
        <v>1.0000252102872411</v>
      </c>
      <c r="Y236" s="160">
        <f t="shared" si="152"/>
        <v>-7.1006700557549509E-3</v>
      </c>
      <c r="Z236" s="98" t="str">
        <f t="shared" si="142"/>
        <v>0.999953725688115+0.0136967461618695i</v>
      </c>
      <c r="AA236" s="160">
        <f t="shared" si="153"/>
        <v>1.0000475260571193</v>
      </c>
      <c r="AB236" s="160">
        <f t="shared" si="154"/>
        <v>1.3696523469109174E-2</v>
      </c>
      <c r="AC236" s="171" t="str">
        <f t="shared" si="155"/>
        <v>0.0967985508811971-4.50065177538627i</v>
      </c>
      <c r="AD236" s="190">
        <f t="shared" si="156"/>
        <v>13.067516734828537</v>
      </c>
      <c r="AE236" s="169">
        <f t="shared" si="157"/>
        <v>-88.76789101594288</v>
      </c>
      <c r="AF236" s="98" t="str">
        <f t="shared" si="143"/>
        <v>-0.0000366300366300366</v>
      </c>
      <c r="AG236" s="98" t="str">
        <f t="shared" si="144"/>
        <v>0.000656189020040664i</v>
      </c>
      <c r="AH236" s="98">
        <f t="shared" si="158"/>
        <v>6.5618902004066395E-4</v>
      </c>
      <c r="AI236" s="98">
        <f t="shared" si="159"/>
        <v>1.5707963267948966</v>
      </c>
      <c r="AJ236" s="98" t="str">
        <f t="shared" si="145"/>
        <v>1+0.0937215991656484i</v>
      </c>
      <c r="AK236" s="98">
        <f t="shared" si="160"/>
        <v>1.004382266943302</v>
      </c>
      <c r="AL236" s="98">
        <f t="shared" si="161"/>
        <v>9.3448627691863212E-2</v>
      </c>
      <c r="AM236" s="98" t="str">
        <f t="shared" si="146"/>
        <v>1+6.46679034242972i</v>
      </c>
      <c r="AN236" s="98">
        <f t="shared" si="162"/>
        <v>6.5436516818166828</v>
      </c>
      <c r="AO236" s="98">
        <f t="shared" si="163"/>
        <v>1.4173752935829738</v>
      </c>
      <c r="AP236" s="168" t="str">
        <f t="shared" si="164"/>
        <v>-0.352662209569384+0.0888744520394325i</v>
      </c>
      <c r="AQ236" s="98">
        <f t="shared" si="165"/>
        <v>-8.7854093733744634</v>
      </c>
      <c r="AR236" s="169">
        <f t="shared" si="166"/>
        <v>165.85541034038727</v>
      </c>
      <c r="AS236" s="168" t="str">
        <f t="shared" si="167"/>
        <v>0.365855769520876+1.59581271777787i</v>
      </c>
      <c r="AT236" s="190">
        <f t="shared" si="168"/>
        <v>4.2821073614540701</v>
      </c>
      <c r="AU236" s="169">
        <f t="shared" si="169"/>
        <v>77.087519324444401</v>
      </c>
      <c r="AV236" s="225"/>
      <c r="AX236">
        <f t="shared" si="170"/>
        <v>0</v>
      </c>
      <c r="AY236">
        <f t="shared" si="171"/>
        <v>0</v>
      </c>
    </row>
    <row r="237" spans="14:51" x14ac:dyDescent="0.3">
      <c r="N237" s="170">
        <v>19</v>
      </c>
      <c r="O237" s="199">
        <f t="shared" si="172"/>
        <v>1548.8166189124822</v>
      </c>
      <c r="P237" s="189" t="str">
        <f t="shared" si="138"/>
        <v>108.75</v>
      </c>
      <c r="Q237" s="160" t="str">
        <f t="shared" si="139"/>
        <v>1+24.6985516279579i</v>
      </c>
      <c r="R237" s="160">
        <f t="shared" si="147"/>
        <v>24.718787440303416</v>
      </c>
      <c r="S237" s="160">
        <f t="shared" si="148"/>
        <v>1.5303302249632542</v>
      </c>
      <c r="T237" s="160" t="str">
        <f t="shared" si="140"/>
        <v>1+0.00091476117140585i</v>
      </c>
      <c r="U237" s="160">
        <f t="shared" si="149"/>
        <v>1.0000004183939128</v>
      </c>
      <c r="V237" s="160">
        <f t="shared" si="150"/>
        <v>9.1476091625225411E-4</v>
      </c>
      <c r="W237" s="98" t="str">
        <f t="shared" si="141"/>
        <v>1-0.00726618802818832i</v>
      </c>
      <c r="X237" s="160">
        <f t="shared" si="151"/>
        <v>1.0000263983957929</v>
      </c>
      <c r="Y237" s="160">
        <f t="shared" si="152"/>
        <v>-7.266060153412985E-3</v>
      </c>
      <c r="Z237" s="98" t="str">
        <f t="shared" si="142"/>
        <v>0.999951544846984+0.0140157843644894i</v>
      </c>
      <c r="AA237" s="160">
        <f t="shared" si="153"/>
        <v>1.000049765888289</v>
      </c>
      <c r="AB237" s="160">
        <f t="shared" si="154"/>
        <v>1.401554574524271E-2</v>
      </c>
      <c r="AC237" s="171" t="str">
        <f t="shared" si="155"/>
        <v>0.0884184495266564-4.39849808562466i</v>
      </c>
      <c r="AD237" s="190">
        <f t="shared" si="156"/>
        <v>12.867842727279005</v>
      </c>
      <c r="AE237" s="169">
        <f t="shared" si="157"/>
        <v>-88.848397411189183</v>
      </c>
      <c r="AF237" s="98" t="str">
        <f t="shared" si="143"/>
        <v>-0.0000366300366300366</v>
      </c>
      <c r="AG237" s="98" t="str">
        <f t="shared" si="144"/>
        <v>0.000671473625819187i</v>
      </c>
      <c r="AH237" s="98">
        <f t="shared" si="158"/>
        <v>6.7147362581918696E-4</v>
      </c>
      <c r="AI237" s="98">
        <f t="shared" si="159"/>
        <v>1.5707963267948966</v>
      </c>
      <c r="AJ237" s="98" t="str">
        <f t="shared" si="145"/>
        <v>1+0.0959046556515537i</v>
      </c>
      <c r="AK237" s="98">
        <f t="shared" si="160"/>
        <v>1.0045883251240995</v>
      </c>
      <c r="AL237" s="98">
        <f t="shared" si="161"/>
        <v>9.561223355123008E-2</v>
      </c>
      <c r="AM237" s="98" t="str">
        <f t="shared" si="146"/>
        <v>1+6.61742123995719i</v>
      </c>
      <c r="AN237" s="98">
        <f t="shared" si="162"/>
        <v>6.6925528662115594</v>
      </c>
      <c r="AO237" s="98">
        <f t="shared" si="163"/>
        <v>1.4208148539484022</v>
      </c>
      <c r="AP237" s="168" t="str">
        <f t="shared" si="164"/>
        <v>-0.352517550351863+0.0883597874373911i</v>
      </c>
      <c r="AQ237" s="98">
        <f t="shared" si="165"/>
        <v>-8.7917584467114764</v>
      </c>
      <c r="AR237" s="169">
        <f t="shared" si="166"/>
        <v>165.92851714843528</v>
      </c>
      <c r="AS237" s="168" t="str">
        <f t="shared" si="167"/>
        <v>0.35748130065652+1.55836040577748i</v>
      </c>
      <c r="AT237" s="190">
        <f t="shared" si="168"/>
        <v>4.0760842805675122</v>
      </c>
      <c r="AU237" s="169">
        <f t="shared" si="169"/>
        <v>77.080119737246093</v>
      </c>
      <c r="AV237" s="225"/>
      <c r="AX237">
        <f t="shared" si="170"/>
        <v>0</v>
      </c>
      <c r="AY237">
        <f t="shared" si="171"/>
        <v>0</v>
      </c>
    </row>
    <row r="238" spans="14:51" x14ac:dyDescent="0.3">
      <c r="N238" s="170">
        <v>20</v>
      </c>
      <c r="O238" s="199">
        <f t="shared" si="172"/>
        <v>1584.8931924611156</v>
      </c>
      <c r="P238" s="189" t="str">
        <f t="shared" si="138"/>
        <v>108.75</v>
      </c>
      <c r="Q238" s="160" t="str">
        <f t="shared" si="139"/>
        <v>1+25.2738548003737i</v>
      </c>
      <c r="R238" s="160">
        <f t="shared" si="147"/>
        <v>25.293630353714999</v>
      </c>
      <c r="S238" s="160">
        <f t="shared" si="148"/>
        <v>1.531250374686387</v>
      </c>
      <c r="T238" s="160" t="str">
        <f t="shared" si="140"/>
        <v>1+0.000936068696310141i</v>
      </c>
      <c r="U238" s="160">
        <f t="shared" si="149"/>
        <v>1.0000004381122061</v>
      </c>
      <c r="V238" s="160">
        <f t="shared" si="150"/>
        <v>9.360684229081438E-4</v>
      </c>
      <c r="W238" s="98" t="str">
        <f t="shared" si="141"/>
        <v>1-0.00743543928983943i</v>
      </c>
      <c r="X238" s="160">
        <f t="shared" si="151"/>
        <v>1.0000276424966628</v>
      </c>
      <c r="Y238" s="160">
        <f t="shared" si="152"/>
        <v>-7.435302269753561E-3</v>
      </c>
      <c r="Z238" s="98" t="str">
        <f t="shared" si="142"/>
        <v>0.999949261225976+0.0143422539215001i</v>
      </c>
      <c r="AA238" s="160">
        <f t="shared" si="153"/>
        <v>1.0000521112791694</v>
      </c>
      <c r="AB238" s="160">
        <f t="shared" si="154"/>
        <v>1.4341998236757929E-2</v>
      </c>
      <c r="AC238" s="171" t="str">
        <f t="shared" si="155"/>
        <v>0.0804143488787212-4.29864603458069i</v>
      </c>
      <c r="AD238" s="190">
        <f t="shared" si="156"/>
        <v>12.668153245251039</v>
      </c>
      <c r="AE238" s="169">
        <f t="shared" si="157"/>
        <v>-88.928298485599043</v>
      </c>
      <c r="AF238" s="98" t="str">
        <f t="shared" si="143"/>
        <v>-0.0000366300366300366</v>
      </c>
      <c r="AG238" s="98" t="str">
        <f t="shared" si="144"/>
        <v>0.000687114255802123i</v>
      </c>
      <c r="AH238" s="98">
        <f t="shared" si="158"/>
        <v>6.8711425580212304E-4</v>
      </c>
      <c r="AI238" s="98">
        <f t="shared" si="159"/>
        <v>1.5707963267948966</v>
      </c>
      <c r="AJ238" s="98" t="str">
        <f t="shared" si="145"/>
        <v>1+0.0981385620553339i</v>
      </c>
      <c r="AK238" s="98">
        <f t="shared" si="160"/>
        <v>1.0048040492366104</v>
      </c>
      <c r="AL238" s="98">
        <f t="shared" si="161"/>
        <v>9.7825306982595325E-2</v>
      </c>
      <c r="AM238" s="98" t="str">
        <f t="shared" si="146"/>
        <v>1+6.77156078181802i</v>
      </c>
      <c r="AN238" s="98">
        <f t="shared" si="162"/>
        <v>6.8450007612750392</v>
      </c>
      <c r="AO238" s="98">
        <f t="shared" si="163"/>
        <v>1.4241795789255993</v>
      </c>
      <c r="AP238" s="168" t="str">
        <f t="shared" si="164"/>
        <v>-0.3523662006983+0.0878906768200611i</v>
      </c>
      <c r="AQ238" s="98">
        <f t="shared" si="165"/>
        <v>-8.7979896383093994</v>
      </c>
      <c r="AR238" s="169">
        <f t="shared" si="166"/>
        <v>165.99450192148115</v>
      </c>
      <c r="AS238" s="168" t="str">
        <f t="shared" si="167"/>
        <v>0.349475610793146+1.52176524290101i</v>
      </c>
      <c r="AT238" s="190">
        <f t="shared" si="168"/>
        <v>3.870163606941659</v>
      </c>
      <c r="AU238" s="169">
        <f t="shared" si="169"/>
        <v>77.066203435882173</v>
      </c>
      <c r="AV238" s="225"/>
      <c r="AX238">
        <f t="shared" si="170"/>
        <v>0</v>
      </c>
      <c r="AY238">
        <f t="shared" si="171"/>
        <v>0</v>
      </c>
    </row>
    <row r="239" spans="14:51" x14ac:dyDescent="0.3">
      <c r="N239" s="170">
        <v>21</v>
      </c>
      <c r="O239" s="199">
        <f t="shared" si="172"/>
        <v>1621.8100973589308</v>
      </c>
      <c r="P239" s="189" t="str">
        <f t="shared" si="138"/>
        <v>108.75</v>
      </c>
      <c r="Q239" s="160" t="str">
        <f t="shared" si="139"/>
        <v>1+25.8625585051436i</v>
      </c>
      <c r="R239" s="160">
        <f t="shared" si="147"/>
        <v>25.88188425196233</v>
      </c>
      <c r="S239" s="160">
        <f t="shared" si="148"/>
        <v>1.5321496439905544</v>
      </c>
      <c r="T239" s="160" t="str">
        <f t="shared" si="140"/>
        <v>1+0.000957872537227546i</v>
      </c>
      <c r="U239" s="160">
        <f t="shared" si="149"/>
        <v>1.0000004587597935</v>
      </c>
      <c r="V239" s="160">
        <f t="shared" si="150"/>
        <v>9.5787224427203513E-4</v>
      </c>
      <c r="W239" s="98" t="str">
        <f t="shared" si="141"/>
        <v>1-0.00760863291982165i</v>
      </c>
      <c r="X239" s="160">
        <f t="shared" si="151"/>
        <v>1.0000289452285411</v>
      </c>
      <c r="Y239" s="160">
        <f t="shared" si="152"/>
        <v>-7.6084861003839523E-3</v>
      </c>
      <c r="Z239" s="98" t="str">
        <f t="shared" si="142"/>
        <v>0.999946869981227+0.0146763279313822i</v>
      </c>
      <c r="AA239" s="160">
        <f t="shared" si="153"/>
        <v>1.0000545672046113</v>
      </c>
      <c r="AB239" s="160">
        <f t="shared" si="154"/>
        <v>1.46760539606794E-2</v>
      </c>
      <c r="AC239" s="171" t="str">
        <f t="shared" si="155"/>
        <v>0.0727694339993853-4.20104470908823i</v>
      </c>
      <c r="AD239" s="190">
        <f t="shared" si="156"/>
        <v>12.468448944142782</v>
      </c>
      <c r="AE239" s="169">
        <f t="shared" si="157"/>
        <v>-89.007636240110003</v>
      </c>
      <c r="AF239" s="98" t="str">
        <f t="shared" si="143"/>
        <v>-0.0000366300366300366</v>
      </c>
      <c r="AG239" s="98" t="str">
        <f t="shared" si="144"/>
        <v>0.000703119202858518i</v>
      </c>
      <c r="AH239" s="98">
        <f t="shared" si="158"/>
        <v>7.0311920285851795E-4</v>
      </c>
      <c r="AI239" s="98">
        <f t="shared" si="159"/>
        <v>1.5707963267948966</v>
      </c>
      <c r="AJ239" s="98" t="str">
        <f t="shared" si="145"/>
        <v>1+0.100424502823733i</v>
      </c>
      <c r="AK239" s="98">
        <f t="shared" si="160"/>
        <v>1.0050298904845536</v>
      </c>
      <c r="AL239" s="98">
        <f t="shared" si="161"/>
        <v>0.10008893462744255</v>
      </c>
      <c r="AM239" s="98" t="str">
        <f t="shared" si="146"/>
        <v>1+6.92929069483754i</v>
      </c>
      <c r="AN239" s="98">
        <f t="shared" si="162"/>
        <v>7.0010763125081077</v>
      </c>
      <c r="AO239" s="98">
        <f t="shared" si="163"/>
        <v>1.4274709476319891</v>
      </c>
      <c r="AP239" s="168" t="str">
        <f t="shared" si="164"/>
        <v>-0.352207857385061+0.0874667805908519i</v>
      </c>
      <c r="AQ239" s="98">
        <f t="shared" si="165"/>
        <v>-8.8041154570771809</v>
      </c>
      <c r="AR239" s="169">
        <f t="shared" si="166"/>
        <v>166.05338714673988</v>
      </c>
      <c r="AS239" s="168" t="str">
        <f t="shared" si="167"/>
        <v>0.341821889390132+1.48600586388416i</v>
      </c>
      <c r="AT239" s="190">
        <f t="shared" si="168"/>
        <v>3.6643334870656203</v>
      </c>
      <c r="AU239" s="169">
        <f t="shared" si="169"/>
        <v>77.045750906629934</v>
      </c>
      <c r="AV239" s="225"/>
      <c r="AX239">
        <f t="shared" si="170"/>
        <v>0</v>
      </c>
      <c r="AY239">
        <f t="shared" si="171"/>
        <v>0</v>
      </c>
    </row>
    <row r="240" spans="14:51" x14ac:dyDescent="0.3">
      <c r="N240" s="170">
        <v>22</v>
      </c>
      <c r="O240" s="199">
        <f t="shared" si="172"/>
        <v>1659.5869074375626</v>
      </c>
      <c r="P240" s="189" t="str">
        <f t="shared" si="138"/>
        <v>108.75</v>
      </c>
      <c r="Q240" s="160" t="str">
        <f t="shared" si="139"/>
        <v>1+26.4649748807646i</v>
      </c>
      <c r="R240" s="160">
        <f t="shared" si="147"/>
        <v>26.483861037233627</v>
      </c>
      <c r="S240" s="160">
        <f t="shared" si="148"/>
        <v>1.5330285038591194</v>
      </c>
      <c r="T240" s="160" t="str">
        <f t="shared" si="140"/>
        <v>1+0.000980184254843136i</v>
      </c>
      <c r="U240" s="160">
        <f t="shared" si="149"/>
        <v>1.0000004803804714</v>
      </c>
      <c r="V240" s="160">
        <f t="shared" si="150"/>
        <v>9.8018394093565874E-4</v>
      </c>
      <c r="W240" s="98" t="str">
        <f t="shared" si="141"/>
        <v>1-0.00778586074769017i</v>
      </c>
      <c r="X240" s="160">
        <f t="shared" si="151"/>
        <v>1.0000303093544627</v>
      </c>
      <c r="Y240" s="160">
        <f t="shared" si="152"/>
        <v>-7.7857034280858122E-3</v>
      </c>
      <c r="Z240" s="98" t="str">
        <f t="shared" si="142"/>
        <v>0.999944366040584+0.0150181835245977i</v>
      </c>
      <c r="AA240" s="160">
        <f t="shared" si="153"/>
        <v>1.0000571388739163</v>
      </c>
      <c r="AB240" s="160">
        <f t="shared" si="154"/>
        <v>1.5017889960188099E-2</v>
      </c>
      <c r="AC240" s="171" t="str">
        <f t="shared" si="155"/>
        <v>0.0654676375470387-4.10564425455751i</v>
      </c>
      <c r="AD240" s="190">
        <f t="shared" si="156"/>
        <v>12.268730448204661</v>
      </c>
      <c r="AE240" s="169">
        <f t="shared" si="157"/>
        <v>-89.086452400300985</v>
      </c>
      <c r="AF240" s="98" t="str">
        <f t="shared" si="143"/>
        <v>-0.0000366300366300366</v>
      </c>
      <c r="AG240" s="98" t="str">
        <f t="shared" si="144"/>
        <v>0.000719496953023152i</v>
      </c>
      <c r="AH240" s="98">
        <f t="shared" si="158"/>
        <v>7.1949695302315196E-4</v>
      </c>
      <c r="AI240" s="98">
        <f t="shared" si="159"/>
        <v>1.5707963267948966</v>
      </c>
      <c r="AJ240" s="98" t="str">
        <f t="shared" si="145"/>
        <v>1+0.102763689992805i</v>
      </c>
      <c r="AK240" s="98">
        <f t="shared" si="160"/>
        <v>1.0052663209224397</v>
      </c>
      <c r="AL240" s="98">
        <f t="shared" si="161"/>
        <v>0.10240422384937561</v>
      </c>
      <c r="AM240" s="98" t="str">
        <f t="shared" si="146"/>
        <v>1+7.09069460950351i</v>
      </c>
      <c r="AN240" s="98">
        <f t="shared" si="162"/>
        <v>7.1608623813924916</v>
      </c>
      <c r="AO240" s="98">
        <f t="shared" si="163"/>
        <v>1.4306904198003971</v>
      </c>
      <c r="AP240" s="168" t="str">
        <f t="shared" si="164"/>
        <v>-0.352042204037903+0.0870877768423307i</v>
      </c>
      <c r="AQ240" s="98">
        <f t="shared" si="165"/>
        <v>-8.8101482291404594</v>
      </c>
      <c r="AR240" s="169">
        <f t="shared" si="166"/>
        <v>166.1051930134806</v>
      </c>
      <c r="AS240" s="168" t="str">
        <f t="shared" si="167"/>
        <v>0.334504059219688+1.45106148337907i</v>
      </c>
      <c r="AT240" s="190">
        <f t="shared" si="168"/>
        <v>3.458582219064199</v>
      </c>
      <c r="AU240" s="169">
        <f t="shared" si="169"/>
        <v>77.018740613179588</v>
      </c>
      <c r="AV240" s="225"/>
      <c r="AX240">
        <f t="shared" si="170"/>
        <v>0</v>
      </c>
      <c r="AY240">
        <f t="shared" si="171"/>
        <v>0</v>
      </c>
    </row>
    <row r="241" spans="14:51" x14ac:dyDescent="0.3">
      <c r="N241" s="170">
        <v>23</v>
      </c>
      <c r="O241" s="199">
        <f t="shared" si="172"/>
        <v>1698.2436524617447</v>
      </c>
      <c r="P241" s="189" t="str">
        <f t="shared" si="138"/>
        <v>108.75</v>
      </c>
      <c r="Q241" s="160" t="str">
        <f t="shared" si="139"/>
        <v>1+27.0814233363725i</v>
      </c>
      <c r="R241" s="160">
        <f t="shared" si="147"/>
        <v>27.099879887627193</v>
      </c>
      <c r="S241" s="160">
        <f t="shared" si="148"/>
        <v>1.5338874148415045</v>
      </c>
      <c r="T241" s="160" t="str">
        <f t="shared" si="140"/>
        <v>1+0.00100301567912491i</v>
      </c>
      <c r="U241" s="160">
        <f t="shared" si="149"/>
        <v>1.0000005030200998</v>
      </c>
      <c r="V241" s="160">
        <f t="shared" si="150"/>
        <v>1.0030153427669972E-3</v>
      </c>
      <c r="W241" s="98" t="str">
        <f t="shared" si="141"/>
        <v>1-0.00796721674198511i</v>
      </c>
      <c r="X241" s="160">
        <f t="shared" si="151"/>
        <v>1.000031737767664</v>
      </c>
      <c r="Y241" s="160">
        <f t="shared" si="152"/>
        <v>-7.9670481712808897E-3</v>
      </c>
      <c r="Z241" s="98" t="str">
        <f t="shared" si="142"/>
        <v>0.999941744092854+0.0153680019575071i</v>
      </c>
      <c r="AA241" s="160">
        <f t="shared" si="153"/>
        <v>1.0000598317418936</v>
      </c>
      <c r="AB241" s="160">
        <f t="shared" si="154"/>
        <v>1.5367687398121888E-2</v>
      </c>
      <c r="AC241" s="171" t="str">
        <f t="shared" si="155"/>
        <v>0.058493606946888-4.01239585746494i</v>
      </c>
      <c r="AD241" s="190">
        <f t="shared" si="156"/>
        <v>12.068998351839763</v>
      </c>
      <c r="AE241" s="169">
        <f t="shared" si="157"/>
        <v>-89.164788436903848</v>
      </c>
      <c r="AF241" s="98" t="str">
        <f t="shared" si="143"/>
        <v>-0.0000366300366300366</v>
      </c>
      <c r="AG241" s="98" t="str">
        <f t="shared" si="144"/>
        <v>0.000736256189995945i</v>
      </c>
      <c r="AH241" s="98">
        <f t="shared" si="158"/>
        <v>7.36256189995945E-4</v>
      </c>
      <c r="AI241" s="98">
        <f t="shared" si="159"/>
        <v>1.5707963267948966</v>
      </c>
      <c r="AJ241" s="98" t="str">
        <f t="shared" si="145"/>
        <v>1+0.105157363830549i</v>
      </c>
      <c r="AK241" s="98">
        <f t="shared" si="160"/>
        <v>1.0055138343990055</v>
      </c>
      <c r="AL241" s="98">
        <f t="shared" si="161"/>
        <v>0.10477230290095522</v>
      </c>
      <c r="AM241" s="98" t="str">
        <f t="shared" si="146"/>
        <v>1+7.25585810430784i</v>
      </c>
      <c r="AN241" s="98">
        <f t="shared" si="162"/>
        <v>7.3244437897938539</v>
      </c>
      <c r="AO241" s="98">
        <f t="shared" si="163"/>
        <v>1.4338394353394002</v>
      </c>
      <c r="AP241" s="168" t="str">
        <f t="shared" si="164"/>
        <v>-0.35186891061835+0.0867533607616941i</v>
      </c>
      <c r="AQ241" s="98">
        <f t="shared" si="165"/>
        <v>-8.8161001186716899</v>
      </c>
      <c r="AR241" s="169">
        <f t="shared" si="166"/>
        <v>166.14993737827774</v>
      </c>
      <c r="AS241" s="168" t="str">
        <f t="shared" si="167"/>
        <v>0.327506743586843+1.41691187632148i</v>
      </c>
      <c r="AT241" s="190">
        <f t="shared" si="168"/>
        <v>3.2528982331680463</v>
      </c>
      <c r="AU241" s="169">
        <f t="shared" si="169"/>
        <v>76.985148941373879</v>
      </c>
      <c r="AV241" s="225"/>
      <c r="AX241">
        <f t="shared" si="170"/>
        <v>0</v>
      </c>
      <c r="AY241">
        <f t="shared" si="171"/>
        <v>0</v>
      </c>
    </row>
    <row r="242" spans="14:51" x14ac:dyDescent="0.3">
      <c r="N242" s="170">
        <v>24</v>
      </c>
      <c r="O242" s="199">
        <f t="shared" si="172"/>
        <v>1737.8008287493772</v>
      </c>
      <c r="P242" s="189" t="str">
        <f t="shared" si="138"/>
        <v>108.75</v>
      </c>
      <c r="Q242" s="160" t="str">
        <f t="shared" si="139"/>
        <v>1+27.7122307210986i</v>
      </c>
      <c r="R242" s="160">
        <f t="shared" si="147"/>
        <v>27.730267426395312</v>
      </c>
      <c r="S242" s="160">
        <f t="shared" si="148"/>
        <v>1.5347268272716468</v>
      </c>
      <c r="T242" s="160" t="str">
        <f t="shared" si="140"/>
        <v>1+0.00102637891559625i</v>
      </c>
      <c r="U242" s="160">
        <f t="shared" si="149"/>
        <v>1.0000005267267005</v>
      </c>
      <c r="V242" s="160">
        <f t="shared" si="150"/>
        <v>1.0263785551822631E-3</v>
      </c>
      <c r="W242" s="98" t="str">
        <f t="shared" si="141"/>
        <v>1-0.0081527970600553i</v>
      </c>
      <c r="X242" s="160">
        <f t="shared" si="151"/>
        <v>1.0000332334977187</v>
      </c>
      <c r="Y242" s="160">
        <f t="shared" si="152"/>
        <v>-8.1526164336156257E-3</v>
      </c>
      <c r="Z242" s="98" t="str">
        <f t="shared" si="142"/>
        <v>0.999938998576535+0.015725968708474i</v>
      </c>
      <c r="AA242" s="160">
        <f t="shared" si="153"/>
        <v>1.0000626515204252</v>
      </c>
      <c r="AB242" s="160">
        <f t="shared" si="154"/>
        <v>1.5725631652633836E-2</v>
      </c>
      <c r="AC242" s="171" t="str">
        <f t="shared" si="155"/>
        <v>0.0518326729680471-3.92125172780619i</v>
      </c>
      <c r="AD242" s="190">
        <f t="shared" si="156"/>
        <v>11.869253220840672</v>
      </c>
      <c r="AE242" s="169">
        <f t="shared" si="157"/>
        <v>-89.242685586282391</v>
      </c>
      <c r="AF242" s="98" t="str">
        <f t="shared" si="143"/>
        <v>-0.0000366300366300366</v>
      </c>
      <c r="AG242" s="98" t="str">
        <f t="shared" si="144"/>
        <v>0.000753405799746179i</v>
      </c>
      <c r="AH242" s="98">
        <f t="shared" si="158"/>
        <v>7.5340579974617896E-4</v>
      </c>
      <c r="AI242" s="98">
        <f t="shared" si="159"/>
        <v>1.5707963267948966</v>
      </c>
      <c r="AJ242" s="98" t="str">
        <f t="shared" si="145"/>
        <v>1+0.107606793494519i</v>
      </c>
      <c r="AK242" s="98">
        <f t="shared" si="160"/>
        <v>1.0057729475414281</v>
      </c>
      <c r="AL242" s="98">
        <f t="shared" si="161"/>
        <v>0.1071943210733094</v>
      </c>
      <c r="AM242" s="98" t="str">
        <f t="shared" si="146"/>
        <v>1+7.42486875112176i</v>
      </c>
      <c r="AN242" s="98">
        <f t="shared" si="162"/>
        <v>7.4919073653766173</v>
      </c>
      <c r="AO242" s="98">
        <f t="shared" si="163"/>
        <v>1.4369194139549659</v>
      </c>
      <c r="AP242" s="168" t="str">
        <f t="shared" si="164"/>
        <v>-0.351687632895578+0.0864632440180153i</v>
      </c>
      <c r="AQ242" s="98">
        <f t="shared" si="165"/>
        <v>-8.8219831486416194</v>
      </c>
      <c r="AR242" s="169">
        <f t="shared" si="166"/>
        <v>166.18763573476033</v>
      </c>
      <c r="AS242" s="168" t="str">
        <f t="shared" si="167"/>
        <v>0.320815234934588+1.3835373591908i</v>
      </c>
      <c r="AT242" s="190">
        <f t="shared" si="168"/>
        <v>3.0472700721990753</v>
      </c>
      <c r="AU242" s="169">
        <f t="shared" si="169"/>
        <v>76.944950148477943</v>
      </c>
      <c r="AV242" s="225"/>
      <c r="AX242">
        <f t="shared" si="170"/>
        <v>0</v>
      </c>
      <c r="AY242">
        <f t="shared" si="171"/>
        <v>0</v>
      </c>
    </row>
    <row r="243" spans="14:51" x14ac:dyDescent="0.3">
      <c r="N243" s="170">
        <v>25</v>
      </c>
      <c r="O243" s="199">
        <f t="shared" si="172"/>
        <v>1778.2794100389244</v>
      </c>
      <c r="P243" s="189" t="str">
        <f t="shared" si="138"/>
        <v>108.75</v>
      </c>
      <c r="Q243" s="160" t="str">
        <f t="shared" si="139"/>
        <v>1+28.3577314973677i</v>
      </c>
      <c r="R243" s="160">
        <f t="shared" si="147"/>
        <v>28.375357895131476</v>
      </c>
      <c r="S243" s="160">
        <f t="shared" si="148"/>
        <v>1.5355471814827366</v>
      </c>
      <c r="T243" s="160" t="str">
        <f t="shared" si="140"/>
        <v>1+0.00105028635175436i</v>
      </c>
      <c r="U243" s="160">
        <f t="shared" si="149"/>
        <v>1.0000005515505581</v>
      </c>
      <c r="V243" s="160">
        <f t="shared" si="150"/>
        <v>1.0502859655638266E-3</v>
      </c>
      <c r="W243" s="98" t="str">
        <f t="shared" si="141"/>
        <v>1-0.00834270009904176i</v>
      </c>
      <c r="X243" s="160">
        <f t="shared" si="151"/>
        <v>1.0000347997169612</v>
      </c>
      <c r="Y243" s="160">
        <f t="shared" si="152"/>
        <v>-8.3425065546883642E-3</v>
      </c>
      <c r="Z243" s="98" t="str">
        <f t="shared" si="142"/>
        <v>0.999936123668018+0.0160922735762079i</v>
      </c>
      <c r="AA243" s="160">
        <f t="shared" si="153"/>
        <v>1.0000656041905818</v>
      </c>
      <c r="AB243" s="160">
        <f t="shared" si="154"/>
        <v>1.6091912415056846E-2</v>
      </c>
      <c r="AC243" s="171" t="str">
        <f t="shared" si="155"/>
        <v>0.0454708196502686-3.83216508154372i</v>
      </c>
      <c r="AD243" s="190">
        <f t="shared" si="156"/>
        <v>11.669495593569536</v>
      </c>
      <c r="AE243" s="169">
        <f t="shared" si="157"/>
        <v>-89.320184870882045</v>
      </c>
      <c r="AF243" s="98" t="str">
        <f t="shared" si="143"/>
        <v>-0.0000366300366300366</v>
      </c>
      <c r="AG243" s="98" t="str">
        <f t="shared" si="144"/>
        <v>0.000770954875223942i</v>
      </c>
      <c r="AH243" s="98">
        <f t="shared" si="158"/>
        <v>7.7095487522394195E-4</v>
      </c>
      <c r="AI243" s="98">
        <f t="shared" si="159"/>
        <v>1.5707963267948966</v>
      </c>
      <c r="AJ243" s="98" t="str">
        <f t="shared" si="145"/>
        <v>1+0.110113277704743i</v>
      </c>
      <c r="AK243" s="98">
        <f t="shared" si="160"/>
        <v>1.006044200781895</v>
      </c>
      <c r="AL243" s="98">
        <f t="shared" si="161"/>
        <v>0.10967144882676516</v>
      </c>
      <c r="AM243" s="98" t="str">
        <f t="shared" si="146"/>
        <v>1+7.59781616162728i</v>
      </c>
      <c r="AN243" s="98">
        <f t="shared" si="162"/>
        <v>7.6633419880548654</v>
      </c>
      <c r="AO243" s="98">
        <f t="shared" si="163"/>
        <v>1.4399317548293087</v>
      </c>
      <c r="AP243" s="168" t="str">
        <f t="shared" si="164"/>
        <v>-0.351498011903937+0.0862171541293278i</v>
      </c>
      <c r="AQ243" s="98">
        <f t="shared" si="165"/>
        <v>-8.8278092215001536</v>
      </c>
      <c r="AR243" s="169">
        <f t="shared" si="166"/>
        <v>166.21830118772715</v>
      </c>
      <c r="AS243" s="168" t="str">
        <f t="shared" si="167"/>
        <v>0.314415464777771+1.35091877211648i</v>
      </c>
      <c r="AT243" s="190">
        <f t="shared" si="168"/>
        <v>2.8416863720693781</v>
      </c>
      <c r="AU243" s="169">
        <f t="shared" si="169"/>
        <v>76.898116316845105</v>
      </c>
      <c r="AV243" s="225"/>
      <c r="AX243">
        <f t="shared" si="170"/>
        <v>0</v>
      </c>
      <c r="AY243">
        <f t="shared" si="171"/>
        <v>0</v>
      </c>
    </row>
    <row r="244" spans="14:51" x14ac:dyDescent="0.3">
      <c r="N244" s="170">
        <v>26</v>
      </c>
      <c r="O244" s="199">
        <f t="shared" si="172"/>
        <v>1819.7008586099832</v>
      </c>
      <c r="P244" s="189" t="str">
        <f t="shared" si="138"/>
        <v>108.75</v>
      </c>
      <c r="Q244" s="160" t="str">
        <f t="shared" si="139"/>
        <v>1+29.0182679182354i</v>
      </c>
      <c r="R244" s="160">
        <f t="shared" si="147"/>
        <v>29.035493330999039</v>
      </c>
      <c r="S244" s="160">
        <f t="shared" si="148"/>
        <v>1.5363489080182502</v>
      </c>
      <c r="T244" s="160" t="str">
        <f t="shared" si="140"/>
        <v>1+0.00107475066363835i</v>
      </c>
      <c r="U244" s="160">
        <f t="shared" si="149"/>
        <v>1.0000005775443277</v>
      </c>
      <c r="V244" s="160">
        <f t="shared" si="150"/>
        <v>1.0747502498277509E-3</v>
      </c>
      <c r="W244" s="98" t="str">
        <f t="shared" si="141"/>
        <v>1-0.00853702654804932i</v>
      </c>
      <c r="X244" s="160">
        <f t="shared" si="151"/>
        <v>1.0000364397472135</v>
      </c>
      <c r="Y244" s="160">
        <f t="shared" si="152"/>
        <v>-8.5368191619463723E-3</v>
      </c>
      <c r="Z244" s="98" t="str">
        <f t="shared" si="142"/>
        <v>0.999933113269237+0.0164671107803982i</v>
      </c>
      <c r="AA244" s="160">
        <f t="shared" si="153"/>
        <v>1.00006869601531</v>
      </c>
      <c r="AB244" s="160">
        <f t="shared" si="154"/>
        <v>1.6466723790025187E-2</v>
      </c>
      <c r="AC244" s="171" t="str">
        <f t="shared" si="155"/>
        <v>0.0393946555251644-3.74509012307379i</v>
      </c>
      <c r="AD244" s="190">
        <f t="shared" si="156"/>
        <v>11.469725982080501</v>
      </c>
      <c r="AE244" s="169">
        <f t="shared" si="157"/>
        <v>-89.397327119654733</v>
      </c>
      <c r="AF244" s="98" t="str">
        <f t="shared" si="143"/>
        <v>-0.0000366300366300366</v>
      </c>
      <c r="AG244" s="98" t="str">
        <f t="shared" si="144"/>
        <v>0.000788912721181342i</v>
      </c>
      <c r="AH244" s="98">
        <f t="shared" si="158"/>
        <v>7.8891272118134198E-4</v>
      </c>
      <c r="AI244" s="98">
        <f t="shared" si="159"/>
        <v>1.5707963267948966</v>
      </c>
      <c r="AJ244" s="98" t="str">
        <f t="shared" si="145"/>
        <v>1+0.112678145432328i</v>
      </c>
      <c r="AK244" s="98">
        <f t="shared" si="160"/>
        <v>1.0063281594281603</v>
      </c>
      <c r="AL244" s="98">
        <f t="shared" si="161"/>
        <v>0.11220487790066627</v>
      </c>
      <c r="AM244" s="98" t="str">
        <f t="shared" si="146"/>
        <v>1+7.77479203483059i</v>
      </c>
      <c r="AN244" s="98">
        <f t="shared" si="162"/>
        <v>7.8388386375065267</v>
      </c>
      <c r="AO244" s="98">
        <f t="shared" si="163"/>
        <v>1.4428778363531223</v>
      </c>
      <c r="AP244" s="168" t="str">
        <f t="shared" si="164"/>
        <v>-0.351299673386386+0.0860148338075428i</v>
      </c>
      <c r="AQ244" s="98">
        <f t="shared" si="165"/>
        <v>-8.8335901397939729</v>
      </c>
      <c r="AR244" s="169">
        <f t="shared" si="166"/>
        <v>166.24194443151291</v>
      </c>
      <c r="AS244" s="168" t="str">
        <f t="shared" si="167"/>
        <v>0.308293974911303+1.3190374617863i</v>
      </c>
      <c r="AT244" s="190">
        <f t="shared" si="168"/>
        <v>2.6361358422864996</v>
      </c>
      <c r="AU244" s="169">
        <f t="shared" si="169"/>
        <v>76.844617311858102</v>
      </c>
      <c r="AV244" s="225"/>
      <c r="AX244">
        <f t="shared" si="170"/>
        <v>0</v>
      </c>
      <c r="AY244">
        <f t="shared" si="171"/>
        <v>0</v>
      </c>
    </row>
    <row r="245" spans="14:51" x14ac:dyDescent="0.3">
      <c r="N245" s="170">
        <v>27</v>
      </c>
      <c r="O245" s="199">
        <f t="shared" si="172"/>
        <v>1862.0871366628687</v>
      </c>
      <c r="P245" s="189" t="str">
        <f t="shared" si="138"/>
        <v>108.75</v>
      </c>
      <c r="Q245" s="160" t="str">
        <f t="shared" si="139"/>
        <v>1+29.6941902088557i</v>
      </c>
      <c r="R245" s="160">
        <f t="shared" si="147"/>
        <v>29.711023748092256</v>
      </c>
      <c r="S245" s="160">
        <f t="shared" si="148"/>
        <v>1.5371324278392771</v>
      </c>
      <c r="T245" s="160" t="str">
        <f t="shared" si="140"/>
        <v>1+0.00109978482255021i</v>
      </c>
      <c r="U245" s="160">
        <f t="shared" si="149"/>
        <v>1.0000006047631451</v>
      </c>
      <c r="V245" s="160">
        <f t="shared" si="150"/>
        <v>1.0997843791441789E-3</v>
      </c>
      <c r="W245" s="98" t="str">
        <f t="shared" si="141"/>
        <v>1-0.00873587944153362i</v>
      </c>
      <c r="X245" s="160">
        <f t="shared" si="151"/>
        <v>1.0000381570668277</v>
      </c>
      <c r="Y245" s="160">
        <f t="shared" si="152"/>
        <v>-8.7356572237786041E-3</v>
      </c>
      <c r="Z245" s="98" t="str">
        <f t="shared" si="142"/>
        <v>0.999929960994733+0.0168506790646923i</v>
      </c>
      <c r="AA245" s="160">
        <f t="shared" si="153"/>
        <v>1.0000719335527168</v>
      </c>
      <c r="AB245" s="160">
        <f t="shared" si="154"/>
        <v>1.6850264397903578E-2</v>
      </c>
      <c r="AC245" s="171" t="str">
        <f t="shared" si="155"/>
        <v>0.0335913860788567-3.65998202773812i</v>
      </c>
      <c r="AD245" s="190">
        <f t="shared" si="156"/>
        <v>11.269944873188626</v>
      </c>
      <c r="AE245" s="169">
        <f t="shared" si="157"/>
        <v>-89.474152988463672</v>
      </c>
      <c r="AF245" s="98" t="str">
        <f t="shared" si="143"/>
        <v>-0.0000366300366300366</v>
      </c>
      <c r="AG245" s="98" t="str">
        <f t="shared" si="144"/>
        <v>0.000807288859106009i</v>
      </c>
      <c r="AH245" s="98">
        <f t="shared" si="158"/>
        <v>8.0728885910600896E-4</v>
      </c>
      <c r="AI245" s="98">
        <f t="shared" si="159"/>
        <v>1.5707963267948966</v>
      </c>
      <c r="AJ245" s="98" t="str">
        <f t="shared" si="145"/>
        <v>1+0.115302756604093i</v>
      </c>
      <c r="AK245" s="98">
        <f t="shared" si="160"/>
        <v>1.0066254147797495</v>
      </c>
      <c r="AL245" s="98">
        <f t="shared" si="161"/>
        <v>0.11479582140037727</v>
      </c>
      <c r="AM245" s="98" t="str">
        <f t="shared" si="146"/>
        <v>1+7.95589020568236i</v>
      </c>
      <c r="AN245" s="98">
        <f t="shared" si="162"/>
        <v>8.018490441777212</v>
      </c>
      <c r="AO245" s="98">
        <f t="shared" si="163"/>
        <v>1.4457590159075198</v>
      </c>
      <c r="AP245" s="168" t="str">
        <f t="shared" si="164"/>
        <v>-0.351092227224197+0.0858560402790988i</v>
      </c>
      <c r="AQ245" s="98">
        <f t="shared" si="165"/>
        <v>-8.839337626729753</v>
      </c>
      <c r="AR245" s="169">
        <f t="shared" si="166"/>
        <v>166.25857373250895</v>
      </c>
      <c r="AS245" s="168" t="str">
        <f t="shared" si="167"/>
        <v>0.302437889840288+1.28787526511533i</v>
      </c>
      <c r="AT245" s="190">
        <f t="shared" si="168"/>
        <v>2.4306072464588966</v>
      </c>
      <c r="AU245" s="169">
        <f t="shared" si="169"/>
        <v>76.784420744045335</v>
      </c>
      <c r="AV245" s="225"/>
      <c r="AX245">
        <f t="shared" si="170"/>
        <v>0</v>
      </c>
      <c r="AY245">
        <f t="shared" si="171"/>
        <v>0</v>
      </c>
    </row>
    <row r="246" spans="14:51" x14ac:dyDescent="0.3">
      <c r="N246" s="170">
        <v>28</v>
      </c>
      <c r="O246" s="199">
        <f t="shared" si="172"/>
        <v>1905.4607179632501</v>
      </c>
      <c r="P246" s="189" t="str">
        <f t="shared" si="138"/>
        <v>108.75</v>
      </c>
      <c r="Q246" s="160" t="str">
        <f t="shared" si="139"/>
        <v>1+30.385856752174i</v>
      </c>
      <c r="R246" s="160">
        <f t="shared" si="147"/>
        <v>30.402307323024647</v>
      </c>
      <c r="S246" s="160">
        <f t="shared" si="148"/>
        <v>1.5378981525281554</v>
      </c>
      <c r="T246" s="160" t="str">
        <f t="shared" si="140"/>
        <v>1+0.00112540210193238i</v>
      </c>
      <c r="U246" s="160">
        <f t="shared" si="149"/>
        <v>1.0000006332647449</v>
      </c>
      <c r="V246" s="160">
        <f t="shared" si="150"/>
        <v>1.1254016268142739E-3</v>
      </c>
      <c r="W246" s="98" t="str">
        <f t="shared" si="141"/>
        <v>1-0.00893936421393093i</v>
      </c>
      <c r="X246" s="160">
        <f t="shared" si="151"/>
        <v>1.0000399553180608</v>
      </c>
      <c r="Y246" s="160">
        <f t="shared" si="152"/>
        <v>-8.9391261038302694E-3</v>
      </c>
      <c r="Z246" s="98" t="str">
        <f t="shared" si="142"/>
        <v>0.999926660158107+0.0172431818020718i</v>
      </c>
      <c r="AA246" s="160">
        <f t="shared" si="153"/>
        <v>1.0000753236699753</v>
      </c>
      <c r="AB246" s="160">
        <f t="shared" si="154"/>
        <v>1.7242737479575148E-2</v>
      </c>
      <c r="AC246" s="171" t="str">
        <f t="shared" si="155"/>
        <v>0.0280487874049187-3.57679692440211i</v>
      </c>
      <c r="AD246" s="190">
        <f t="shared" si="156"/>
        <v>11.070152729486937</v>
      </c>
      <c r="AE246" s="169">
        <f t="shared" si="157"/>
        <v>-89.550702980472622</v>
      </c>
      <c r="AF246" s="98" t="str">
        <f t="shared" si="143"/>
        <v>-0.0000366300366300366</v>
      </c>
      <c r="AG246" s="98" t="str">
        <f t="shared" si="144"/>
        <v>0.000826093032269505i</v>
      </c>
      <c r="AH246" s="98">
        <f t="shared" si="158"/>
        <v>8.2609303226950496E-4</v>
      </c>
      <c r="AI246" s="98">
        <f t="shared" si="159"/>
        <v>1.5707963267948966</v>
      </c>
      <c r="AJ246" s="98" t="str">
        <f t="shared" si="145"/>
        <v>1+0.117988502823622i</v>
      </c>
      <c r="AK246" s="98">
        <f t="shared" si="160"/>
        <v>1.0069365852915266</v>
      </c>
      <c r="AL246" s="98">
        <f t="shared" si="161"/>
        <v>0.11744551385938735</v>
      </c>
      <c r="AM246" s="98" t="str">
        <f t="shared" si="146"/>
        <v>1+8.14120669482991i</v>
      </c>
      <c r="AN246" s="98">
        <f t="shared" si="162"/>
        <v>8.202392727000051</v>
      </c>
      <c r="AO246" s="98">
        <f t="shared" si="163"/>
        <v>1.4485766296921816</v>
      </c>
      <c r="AP246" s="168" t="str">
        <f t="shared" si="164"/>
        <v>-0.350875266853315+0.0857405445791501i</v>
      </c>
      <c r="AQ246" s="98">
        <f t="shared" si="165"/>
        <v>-8.8450633466942747</v>
      </c>
      <c r="AR246" s="169">
        <f t="shared" si="166"/>
        <v>166.26819491575901</v>
      </c>
      <c r="AS246" s="168" t="str">
        <f t="shared" si="167"/>
        <v>0.296834890381653+1.25741449363659i</v>
      </c>
      <c r="AT246" s="190">
        <f t="shared" si="168"/>
        <v>2.2250893827926701</v>
      </c>
      <c r="AU246" s="169">
        <f t="shared" si="169"/>
        <v>76.717491935286446</v>
      </c>
      <c r="AV246" s="225"/>
      <c r="AX246">
        <f t="shared" si="170"/>
        <v>0</v>
      </c>
      <c r="AY246">
        <f t="shared" si="171"/>
        <v>0</v>
      </c>
    </row>
    <row r="247" spans="14:51" x14ac:dyDescent="0.3">
      <c r="N247" s="170">
        <v>29</v>
      </c>
      <c r="O247" s="199">
        <f t="shared" si="172"/>
        <v>1949.8445997580463</v>
      </c>
      <c r="P247" s="189" t="str">
        <f t="shared" si="138"/>
        <v>108.75</v>
      </c>
      <c r="Q247" s="160" t="str">
        <f t="shared" si="139"/>
        <v>1+31.0936342789463i</v>
      </c>
      <c r="R247" s="160">
        <f t="shared" si="147"/>
        <v>31.109710584845764</v>
      </c>
      <c r="S247" s="160">
        <f t="shared" si="148"/>
        <v>1.538646484488432</v>
      </c>
      <c r="T247" s="160" t="str">
        <f t="shared" si="140"/>
        <v>1+0.00115161608440542i</v>
      </c>
      <c r="U247" s="160">
        <f t="shared" si="149"/>
        <v>1.000000663109583</v>
      </c>
      <c r="V247" s="160">
        <f t="shared" si="150"/>
        <v>1.1516155753072152E-3</v>
      </c>
      <c r="W247" s="98" t="str">
        <f t="shared" si="141"/>
        <v>1-0.00914758875556082i</v>
      </c>
      <c r="X247" s="160">
        <f t="shared" si="151"/>
        <v>1.0000418383147982</v>
      </c>
      <c r="Y247" s="160">
        <f t="shared" si="152"/>
        <v>-9.1473336165676863E-3</v>
      </c>
      <c r="Z247" s="98" t="str">
        <f t="shared" si="142"/>
        <v>0.999923203757845+0.017644827102683i</v>
      </c>
      <c r="AA247" s="160">
        <f t="shared" si="153"/>
        <v>1.0000788735578992</v>
      </c>
      <c r="AB247" s="160">
        <f t="shared" si="154"/>
        <v>1.7644351003641444E-2</v>
      </c>
      <c r="AC247" s="171" t="str">
        <f t="shared" si="155"/>
        <v>0.022755180998324-3.49549187811952i</v>
      </c>
      <c r="AD247" s="190">
        <f t="shared" si="156"/>
        <v>10.870349990313109</v>
      </c>
      <c r="AE247" s="169">
        <f t="shared" si="157"/>
        <v>-89.627017466525345</v>
      </c>
      <c r="AF247" s="98" t="str">
        <f t="shared" si="143"/>
        <v>-0.0000366300366300366</v>
      </c>
      <c r="AG247" s="98" t="str">
        <f t="shared" si="144"/>
        <v>0.000845335210893342i</v>
      </c>
      <c r="AH247" s="98">
        <f t="shared" si="158"/>
        <v>8.4533521089334197E-4</v>
      </c>
      <c r="AI247" s="98">
        <f t="shared" si="159"/>
        <v>1.5707963267948966</v>
      </c>
      <c r="AJ247" s="98" t="str">
        <f t="shared" si="145"/>
        <v>1+0.12073680810911i</v>
      </c>
      <c r="AK247" s="98">
        <f t="shared" si="160"/>
        <v>1.0072623177863729</v>
      </c>
      <c r="AL247" s="98">
        <f t="shared" si="161"/>
        <v>0.12015521127426612</v>
      </c>
      <c r="AM247" s="98" t="str">
        <f t="shared" si="146"/>
        <v>1+8.33083975952856i</v>
      </c>
      <c r="AN247" s="98">
        <f t="shared" si="162"/>
        <v>8.3906430682601361</v>
      </c>
      <c r="AO247" s="98">
        <f t="shared" si="163"/>
        <v>1.451331992596429</v>
      </c>
      <c r="AP247" s="168" t="str">
        <f t="shared" si="164"/>
        <v>-0.350648368667969+0.0856681308170194i</v>
      </c>
      <c r="AQ247" s="98">
        <f t="shared" si="165"/>
        <v>-8.8507789257410465</v>
      </c>
      <c r="AR247" s="169">
        <f t="shared" si="166"/>
        <v>166.27081135556929</v>
      </c>
      <c r="AS247" s="168" t="str">
        <f t="shared" si="167"/>
        <v>0.291473188388765+1.22763791857727i</v>
      </c>
      <c r="AT247" s="190">
        <f t="shared" si="168"/>
        <v>2.0195710645720304</v>
      </c>
      <c r="AU247" s="169">
        <f t="shared" si="169"/>
        <v>76.643793889043906</v>
      </c>
      <c r="AV247" s="225"/>
      <c r="AX247">
        <f t="shared" si="170"/>
        <v>0</v>
      </c>
      <c r="AY247">
        <f t="shared" si="171"/>
        <v>0</v>
      </c>
    </row>
    <row r="248" spans="14:51" x14ac:dyDescent="0.3">
      <c r="N248" s="170">
        <v>30</v>
      </c>
      <c r="O248" s="199">
        <f t="shared" si="172"/>
        <v>1995.2623149688804</v>
      </c>
      <c r="P248" s="189" t="str">
        <f t="shared" si="138"/>
        <v>108.75</v>
      </c>
      <c r="Q248" s="160" t="str">
        <f t="shared" si="139"/>
        <v>1+31.8178980621865i</v>
      </c>
      <c r="R248" s="160">
        <f t="shared" si="147"/>
        <v>31.833608609387841</v>
      </c>
      <c r="S248" s="160">
        <f t="shared" si="148"/>
        <v>1.5393778171411701</v>
      </c>
      <c r="T248" s="160" t="str">
        <f t="shared" si="140"/>
        <v>1+0.00117844066896987i</v>
      </c>
      <c r="U248" s="160">
        <f t="shared" si="149"/>
        <v>1.0000006943609641</v>
      </c>
      <c r="V248" s="160">
        <f t="shared" si="150"/>
        <v>1.1784401234613358E-3</v>
      </c>
      <c r="W248" s="98" t="str">
        <f t="shared" si="141"/>
        <v>1-0.00936066346983162i</v>
      </c>
      <c r="X248" s="160">
        <f t="shared" si="151"/>
        <v>1.0000438100506375</v>
      </c>
      <c r="Y248" s="160">
        <f t="shared" si="152"/>
        <v>-9.3603900841217943E-3</v>
      </c>
      <c r="Z248" s="98" t="str">
        <f t="shared" si="142"/>
        <v>0.999919584462456+0.0180558279241811i</v>
      </c>
      <c r="AA248" s="160">
        <f t="shared" si="153"/>
        <v>1.0000825907461834</v>
      </c>
      <c r="AB248" s="160">
        <f t="shared" si="154"/>
        <v>1.8055317776091408E-2</v>
      </c>
      <c r="AC248" s="171" t="str">
        <f t="shared" si="155"/>
        <v>0.0176994096429881-3.41602487290195i</v>
      </c>
      <c r="AD248" s="190">
        <f t="shared" si="156"/>
        <v>10.670537072667749</v>
      </c>
      <c r="AE248" s="169">
        <f t="shared" si="157"/>
        <v>-89.703136705521089</v>
      </c>
      <c r="AF248" s="98" t="str">
        <f t="shared" si="143"/>
        <v>-0.0000366300366300366</v>
      </c>
      <c r="AG248" s="98" t="str">
        <f t="shared" si="144"/>
        <v>0.00086502559743533i</v>
      </c>
      <c r="AH248" s="98">
        <f t="shared" si="158"/>
        <v>8.6502559743533E-4</v>
      </c>
      <c r="AI248" s="98">
        <f t="shared" si="159"/>
        <v>1.5707963267948966</v>
      </c>
      <c r="AJ248" s="98" t="str">
        <f t="shared" si="145"/>
        <v>1+0.123549129648399i</v>
      </c>
      <c r="AK248" s="98">
        <f t="shared" si="160"/>
        <v>1.007603288718768</v>
      </c>
      <c r="AL248" s="98">
        <f t="shared" si="161"/>
        <v>0.12292619111009762</v>
      </c>
      <c r="AM248" s="98" t="str">
        <f t="shared" si="146"/>
        <v>1+8.52488994573947i</v>
      </c>
      <c r="AN248" s="98">
        <f t="shared" si="162"/>
        <v>8.5833413416320514</v>
      </c>
      <c r="AO248" s="98">
        <f t="shared" si="163"/>
        <v>1.4540263981100969</v>
      </c>
      <c r="AP248" s="168" t="str">
        <f t="shared" si="164"/>
        <v>-0.350411091412206+0.0856385954105476i</v>
      </c>
      <c r="AQ248" s="98">
        <f t="shared" si="165"/>
        <v>-8.8564959720546366</v>
      </c>
      <c r="AR248" s="169">
        <f t="shared" si="166"/>
        <v>166.26642397009022</v>
      </c>
      <c r="AS248" s="168" t="str">
        <f t="shared" si="167"/>
        <v>0.286341502552466+1.19852875658624i</v>
      </c>
      <c r="AT248" s="190">
        <f t="shared" si="168"/>
        <v>1.8140411006131378</v>
      </c>
      <c r="AU248" s="169">
        <f t="shared" si="169"/>
        <v>76.563287264569183</v>
      </c>
      <c r="AV248" s="225"/>
      <c r="AX248">
        <f t="shared" si="170"/>
        <v>0</v>
      </c>
      <c r="AY248">
        <f t="shared" si="171"/>
        <v>0</v>
      </c>
    </row>
    <row r="249" spans="14:51" x14ac:dyDescent="0.3">
      <c r="N249" s="170">
        <v>31</v>
      </c>
      <c r="O249" s="199">
        <f t="shared" si="172"/>
        <v>2041.7379446695318</v>
      </c>
      <c r="P249" s="189" t="str">
        <f t="shared" si="138"/>
        <v>108.75</v>
      </c>
      <c r="Q249" s="160" t="str">
        <f t="shared" si="139"/>
        <v>1+32.5590321161387i</v>
      </c>
      <c r="R249" s="160">
        <f t="shared" si="147"/>
        <v>32.574385218139597</v>
      </c>
      <c r="S249" s="160">
        <f t="shared" si="148"/>
        <v>1.5400925351176216</v>
      </c>
      <c r="T249" s="160" t="str">
        <f t="shared" si="140"/>
        <v>1+0.00120589007837551i</v>
      </c>
      <c r="U249" s="160">
        <f t="shared" si="149"/>
        <v>1.0000007270851763</v>
      </c>
      <c r="V249" s="160">
        <f t="shared" si="150"/>
        <v>1.2058894938526074E-3</v>
      </c>
      <c r="W249" s="98" t="str">
        <f t="shared" si="141"/>
        <v>1-0.00957870133177712i</v>
      </c>
      <c r="X249" s="160">
        <f t="shared" si="151"/>
        <v>1.0000458747073573</v>
      </c>
      <c r="Y249" s="160">
        <f t="shared" si="152"/>
        <v>-9.578408394437023E-3</v>
      </c>
      <c r="Z249" s="98" t="str">
        <f t="shared" si="142"/>
        <v>0.999915794594931+0.0184764021846416i</v>
      </c>
      <c r="AA249" s="160">
        <f t="shared" si="153"/>
        <v>1.0000864831193854</v>
      </c>
      <c r="AB249" s="160">
        <f t="shared" si="154"/>
        <v>1.8475855552488901E-2</v>
      </c>
      <c r="AC249" s="171" t="str">
        <f t="shared" si="155"/>
        <v>0.0128708143473335-3.33835479461033i</v>
      </c>
      <c r="AD249" s="190">
        <f t="shared" si="156"/>
        <v>10.47071437208781</v>
      </c>
      <c r="AE249" s="169">
        <f t="shared" si="157"/>
        <v>-89.779100864791189</v>
      </c>
      <c r="AF249" s="98" t="str">
        <f t="shared" si="143"/>
        <v>-0.0000366300366300366</v>
      </c>
      <c r="AG249" s="98" t="str">
        <f t="shared" si="144"/>
        <v>0.000885174631999047i</v>
      </c>
      <c r="AH249" s="98">
        <f t="shared" si="158"/>
        <v>8.8517463199904703E-4</v>
      </c>
      <c r="AI249" s="98">
        <f t="shared" si="159"/>
        <v>1.5707963267948966</v>
      </c>
      <c r="AJ249" s="98" t="str">
        <f t="shared" si="145"/>
        <v>1+0.126426958571592i</v>
      </c>
      <c r="AK249" s="98">
        <f t="shared" si="160"/>
        <v>1.0079602054911012</v>
      </c>
      <c r="AL249" s="98">
        <f t="shared" si="161"/>
        <v>0.12575975227385566</v>
      </c>
      <c r="AM249" s="98" t="str">
        <f t="shared" si="146"/>
        <v>1+8.72346014143983i</v>
      </c>
      <c r="AN249" s="98">
        <f t="shared" si="162"/>
        <v>8.780589777417541</v>
      </c>
      <c r="AO249" s="98">
        <f t="shared" si="163"/>
        <v>1.4566611182712192</v>
      </c>
      <c r="AP249" s="168" t="str">
        <f t="shared" si="164"/>
        <v>-0.350162975560095+0.0856517462868648i</v>
      </c>
      <c r="AQ249" s="98">
        <f t="shared" si="165"/>
        <v>-8.8622260964055997</v>
      </c>
      <c r="AR249" s="169">
        <f t="shared" si="166"/>
        <v>166.25503121984502</v>
      </c>
      <c r="AS249" s="168" t="str">
        <f t="shared" si="167"/>
        <v>0.281429035233759+1.17007065608105i</v>
      </c>
      <c r="AT249" s="190">
        <f t="shared" si="168"/>
        <v>1.6084882756822418</v>
      </c>
      <c r="AU249" s="169">
        <f t="shared" si="169"/>
        <v>76.475930355053848</v>
      </c>
      <c r="AV249" s="225"/>
      <c r="AX249">
        <f t="shared" si="170"/>
        <v>0</v>
      </c>
      <c r="AY249">
        <f t="shared" si="171"/>
        <v>0</v>
      </c>
    </row>
    <row r="250" spans="14:51" x14ac:dyDescent="0.3">
      <c r="N250" s="170">
        <v>32</v>
      </c>
      <c r="O250" s="199">
        <f t="shared" si="172"/>
        <v>2089.2961308540398</v>
      </c>
      <c r="P250" s="189" t="str">
        <f t="shared" si="138"/>
        <v>108.75</v>
      </c>
      <c r="Q250" s="160" t="str">
        <f t="shared" si="139"/>
        <v>1+33.3174293998889i</v>
      </c>
      <c r="R250" s="160">
        <f t="shared" si="147"/>
        <v>33.332433181761296</v>
      </c>
      <c r="S250" s="160">
        <f t="shared" si="148"/>
        <v>1.5407910144482995</v>
      </c>
      <c r="T250" s="160" t="str">
        <f t="shared" si="140"/>
        <v>1+0.00123397886666256i</v>
      </c>
      <c r="U250" s="160">
        <f t="shared" si="149"/>
        <v>1.000000761351632</v>
      </c>
      <c r="V250" s="160">
        <f t="shared" si="150"/>
        <v>1.2339782403350114E-3</v>
      </c>
      <c r="W250" s="98" t="str">
        <f t="shared" si="141"/>
        <v>1-0.00980181794795791i</v>
      </c>
      <c r="X250" s="160">
        <f t="shared" si="151"/>
        <v>1.0000480366637818</v>
      </c>
      <c r="Y250" s="160">
        <f t="shared" si="152"/>
        <v>-9.801504060757079E-3</v>
      </c>
      <c r="Z250" s="98" t="str">
        <f t="shared" si="142"/>
        <v>0.999911826116452+0.0189067728781046i</v>
      </c>
      <c r="AA250" s="160">
        <f t="shared" si="153"/>
        <v>1.0000905589336408</v>
      </c>
      <c r="AB250" s="160">
        <f t="shared" si="154"/>
        <v>1.8906187152741699E-2</v>
      </c>
      <c r="AC250" s="171" t="str">
        <f t="shared" si="155"/>
        <v>0.00825921228392542-3.26244141398211i</v>
      </c>
      <c r="AD250" s="190">
        <f t="shared" si="156"/>
        <v>10.270882263473688</v>
      </c>
      <c r="AE250" s="169">
        <f t="shared" si="157"/>
        <v>-89.854950040484312</v>
      </c>
      <c r="AF250" s="98" t="str">
        <f t="shared" si="143"/>
        <v>-0.0000366300366300366</v>
      </c>
      <c r="AG250" s="98" t="str">
        <f t="shared" si="144"/>
        <v>0.000905792997869319i</v>
      </c>
      <c r="AH250" s="98">
        <f t="shared" si="158"/>
        <v>9.0579299786931896E-4</v>
      </c>
      <c r="AI250" s="98">
        <f t="shared" si="159"/>
        <v>1.5707963267948966</v>
      </c>
      <c r="AJ250" s="98" t="str">
        <f t="shared" si="145"/>
        <v>1+0.12937182074168i</v>
      </c>
      <c r="AK250" s="98">
        <f t="shared" si="160"/>
        <v>1.0083338078245803</v>
      </c>
      <c r="AL250" s="98">
        <f t="shared" si="161"/>
        <v>0.12865721505306721</v>
      </c>
      <c r="AM250" s="98" t="str">
        <f t="shared" si="146"/>
        <v>1+8.92665563117591i</v>
      </c>
      <c r="AN250" s="98">
        <f t="shared" si="162"/>
        <v>8.9824930146148514</v>
      </c>
      <c r="AO250" s="98">
        <f t="shared" si="163"/>
        <v>1.4592374036477693</v>
      </c>
      <c r="AP250" s="168" t="str">
        <f t="shared" si="164"/>
        <v>-0.349903542685626+0.0857074020470483i</v>
      </c>
      <c r="AQ250" s="98">
        <f t="shared" si="165"/>
        <v>-8.8679809326059296</v>
      </c>
      <c r="AR250" s="169">
        <f t="shared" si="166"/>
        <v>166.23662911019758</v>
      </c>
      <c r="AS250" s="168" t="str">
        <f t="shared" si="167"/>
        <v>0.276725450285167+1.14224768418445i</v>
      </c>
      <c r="AT250" s="190">
        <f t="shared" si="168"/>
        <v>1.4029013308677323</v>
      </c>
      <c r="AU250" s="169">
        <f t="shared" si="169"/>
        <v>76.381679069713243</v>
      </c>
      <c r="AV250" s="225"/>
      <c r="AX250">
        <f t="shared" si="170"/>
        <v>0</v>
      </c>
      <c r="AY250">
        <f t="shared" si="171"/>
        <v>0</v>
      </c>
    </row>
    <row r="251" spans="14:51" x14ac:dyDescent="0.3">
      <c r="N251" s="170">
        <v>33</v>
      </c>
      <c r="O251" s="199">
        <f t="shared" si="172"/>
        <v>2137.9620895022344</v>
      </c>
      <c r="P251" s="189" t="str">
        <f t="shared" si="138"/>
        <v>108.75</v>
      </c>
      <c r="Q251" s="160" t="str">
        <f t="shared" si="139"/>
        <v>1+34.093492025715i</v>
      </c>
      <c r="R251" s="160">
        <f t="shared" si="147"/>
        <v>34.108154428340036</v>
      </c>
      <c r="S251" s="160">
        <f t="shared" si="148"/>
        <v>1.5414736227484751</v>
      </c>
      <c r="T251" s="160" t="str">
        <f t="shared" si="140"/>
        <v>1+0.00126272192687834i</v>
      </c>
      <c r="U251" s="160">
        <f t="shared" si="149"/>
        <v>1.0000007972330145</v>
      </c>
      <c r="V251" s="160">
        <f t="shared" si="150"/>
        <v>1.262721255756309E-3</v>
      </c>
      <c r="W251" s="98" t="str">
        <f t="shared" si="141"/>
        <v>1-0.010030131617757i</v>
      </c>
      <c r="X251" s="160">
        <f t="shared" si="151"/>
        <v>1.0000503005050643</v>
      </c>
      <c r="Y251" s="160">
        <f t="shared" si="152"/>
        <v>-1.0029795282475306E-2</v>
      </c>
      <c r="Z251" s="98" t="str">
        <f t="shared" si="142"/>
        <v>0.999907670609344+0.0193471681928083i</v>
      </c>
      <c r="AA251" s="160">
        <f t="shared" si="153"/>
        <v>1.0000948268341785</v>
      </c>
      <c r="AB251" s="160">
        <f t="shared" si="154"/>
        <v>1.9346540578504049E-2</v>
      </c>
      <c r="AC251" s="171" t="str">
        <f t="shared" si="155"/>
        <v>0.00385487569106421-3.18824536980917i</v>
      </c>
      <c r="AD251" s="190">
        <f t="shared" si="156"/>
        <v>10.071041101875618</v>
      </c>
      <c r="AE251" s="169">
        <f t="shared" si="157"/>
        <v>-89.930724277965496</v>
      </c>
      <c r="AF251" s="98" t="str">
        <f t="shared" si="143"/>
        <v>-0.0000366300366300366</v>
      </c>
      <c r="AG251" s="98" t="str">
        <f t="shared" si="144"/>
        <v>0.000926891627176651i</v>
      </c>
      <c r="AH251" s="98">
        <f t="shared" si="158"/>
        <v>9.26891627176651E-4</v>
      </c>
      <c r="AI251" s="98">
        <f t="shared" si="159"/>
        <v>1.5707963267948966</v>
      </c>
      <c r="AJ251" s="98" t="str">
        <f t="shared" si="145"/>
        <v>1+0.132385277563563i</v>
      </c>
      <c r="AK251" s="98">
        <f t="shared" si="160"/>
        <v>1.0087248691866288</v>
      </c>
      <c r="AL251" s="98">
        <f t="shared" si="161"/>
        <v>0.13161992101689018</v>
      </c>
      <c r="AM251" s="98" t="str">
        <f t="shared" si="146"/>
        <v>1+9.13458415188582i</v>
      </c>
      <c r="AN251" s="98">
        <f t="shared" si="162"/>
        <v>9.1891581566476273</v>
      </c>
      <c r="AO251" s="98">
        <f t="shared" si="163"/>
        <v>1.4617564833507821</v>
      </c>
      <c r="AP251" s="168" t="str">
        <f t="shared" si="164"/>
        <v>-0.349632294823326+0.0858053910920021i</v>
      </c>
      <c r="AQ251" s="98">
        <f t="shared" si="165"/>
        <v>-8.8737721579788662</v>
      </c>
      <c r="AR251" s="169">
        <f t="shared" si="166"/>
        <v>166.211211197772</v>
      </c>
      <c r="AS251" s="168" t="str">
        <f t="shared" si="167"/>
        <v>0.272220851819615+1.11504431422251i</v>
      </c>
      <c r="AT251" s="190">
        <f t="shared" si="168"/>
        <v>1.197268943896777</v>
      </c>
      <c r="AU251" s="169">
        <f t="shared" si="169"/>
        <v>76.280486919806549</v>
      </c>
      <c r="AV251" s="225"/>
      <c r="AX251">
        <f t="shared" si="170"/>
        <v>0</v>
      </c>
      <c r="AY251">
        <f t="shared" si="171"/>
        <v>0</v>
      </c>
    </row>
    <row r="252" spans="14:51" x14ac:dyDescent="0.3">
      <c r="N252" s="170">
        <v>34</v>
      </c>
      <c r="O252" s="199">
        <f t="shared" si="172"/>
        <v>2187.7616239495528</v>
      </c>
      <c r="P252" s="189" t="str">
        <f t="shared" si="138"/>
        <v>108.75</v>
      </c>
      <c r="Q252" s="160" t="str">
        <f t="shared" si="139"/>
        <v>1+34.887631472294i</v>
      </c>
      <c r="R252" s="160">
        <f t="shared" si="147"/>
        <v>34.901960256504196</v>
      </c>
      <c r="S252" s="160">
        <f t="shared" si="148"/>
        <v>1.5421407194001355</v>
      </c>
      <c r="T252" s="160" t="str">
        <f t="shared" si="140"/>
        <v>1+0.00129213449897386i</v>
      </c>
      <c r="U252" s="160">
        <f t="shared" si="149"/>
        <v>1.0000008348054332</v>
      </c>
      <c r="V252" s="160">
        <f t="shared" si="150"/>
        <v>1.2921337798536801E-3</v>
      </c>
      <c r="W252" s="98" t="str">
        <f t="shared" si="141"/>
        <v>1-0.0102637633961044i</v>
      </c>
      <c r="X252" s="160">
        <f t="shared" si="151"/>
        <v>1.0000526710324067</v>
      </c>
      <c r="Y252" s="160">
        <f t="shared" si="152"/>
        <v>-1.0263403007382174E-2</v>
      </c>
      <c r="Z252" s="98" t="str">
        <f t="shared" si="142"/>
        <v>0.99990331925922+0.0197978216321778i</v>
      </c>
      <c r="AA252" s="160">
        <f t="shared" si="153"/>
        <v>1.0000992958736574</v>
      </c>
      <c r="AB252" s="160">
        <f t="shared" si="154"/>
        <v>1.9797149133275252E-2</v>
      </c>
      <c r="AC252" s="171" t="str">
        <f t="shared" si="155"/>
        <v>-0.000351488304275439-3.1157281522768i</v>
      </c>
      <c r="AD252" s="190">
        <f t="shared" si="156"/>
        <v>9.8711912232364707</v>
      </c>
      <c r="AE252" s="169">
        <f t="shared" si="157"/>
        <v>-90.006463592237026</v>
      </c>
      <c r="AF252" s="98" t="str">
        <f t="shared" si="143"/>
        <v>-0.0000366300366300366</v>
      </c>
      <c r="AG252" s="98" t="str">
        <f t="shared" si="144"/>
        <v>0.000948481706693571i</v>
      </c>
      <c r="AH252" s="98">
        <f t="shared" si="158"/>
        <v>9.48481706693571E-4</v>
      </c>
      <c r="AI252" s="98">
        <f t="shared" si="159"/>
        <v>1.5707963267948966</v>
      </c>
      <c r="AJ252" s="98" t="str">
        <f t="shared" si="145"/>
        <v>1+0.135468926811937i</v>
      </c>
      <c r="AK252" s="98">
        <f t="shared" si="160"/>
        <v>1.0091341982767099</v>
      </c>
      <c r="AL252" s="98">
        <f t="shared" si="161"/>
        <v>0.1346492328766466</v>
      </c>
      <c r="AM252" s="98" t="str">
        <f t="shared" si="146"/>
        <v>1+9.3473559500236i</v>
      </c>
      <c r="AN252" s="98">
        <f t="shared" si="162"/>
        <v>9.4006948283859106</v>
      </c>
      <c r="AO252" s="98">
        <f t="shared" si="163"/>
        <v>1.4642195650763994</v>
      </c>
      <c r="AP252" s="168" t="str">
        <f t="shared" si="164"/>
        <v>-0.349348713820974+0.0859455507068472i</v>
      </c>
      <c r="AQ252" s="98">
        <f t="shared" si="165"/>
        <v>-8.8796115138521117</v>
      </c>
      <c r="AR252" s="169">
        <f t="shared" si="166"/>
        <v>166.17876860085266</v>
      </c>
      <c r="AS252" s="168" t="str">
        <f t="shared" si="167"/>
        <v>0.267905763887279+1.08844541375782i</v>
      </c>
      <c r="AT252" s="190">
        <f t="shared" si="168"/>
        <v>0.99157970938434603</v>
      </c>
      <c r="AU252" s="169">
        <f t="shared" si="169"/>
        <v>76.172305008615595</v>
      </c>
      <c r="AV252" s="225"/>
      <c r="AX252">
        <f t="shared" si="170"/>
        <v>0</v>
      </c>
      <c r="AY252">
        <f t="shared" si="171"/>
        <v>0</v>
      </c>
    </row>
    <row r="253" spans="14:51" x14ac:dyDescent="0.3">
      <c r="N253" s="170">
        <v>35</v>
      </c>
      <c r="O253" s="199">
        <f t="shared" si="172"/>
        <v>2238.7211385683418</v>
      </c>
      <c r="P253" s="189" t="str">
        <f t="shared" si="138"/>
        <v>108.75</v>
      </c>
      <c r="Q253" s="160" t="str">
        <f t="shared" si="139"/>
        <v>1+35.700268802872i</v>
      </c>
      <c r="R253" s="160">
        <f t="shared" si="147"/>
        <v>35.714271553502478</v>
      </c>
      <c r="S253" s="160">
        <f t="shared" si="148"/>
        <v>1.5427926557304366</v>
      </c>
      <c r="T253" s="160" t="str">
        <f t="shared" si="140"/>
        <v>1+0.00132223217788415i</v>
      </c>
      <c r="U253" s="160">
        <f t="shared" si="149"/>
        <v>1.000000874148584</v>
      </c>
      <c r="V253" s="160">
        <f t="shared" si="150"/>
        <v>1.3222314073330307E-3</v>
      </c>
      <c r="W253" s="98" t="str">
        <f t="shared" si="141"/>
        <v>1-0.0105028371576614i</v>
      </c>
      <c r="X253" s="160">
        <f t="shared" si="151"/>
        <v>1.0000551532732385</v>
      </c>
      <c r="Y253" s="160">
        <f t="shared" si="152"/>
        <v>-1.0502450995338364E-2</v>
      </c>
      <c r="Z253" s="98" t="str">
        <f t="shared" si="142"/>
        <v>0.999898762836283+0.0202589721386319i</v>
      </c>
      <c r="AA253" s="160">
        <f t="shared" si="153"/>
        <v>1.0001039755313661</v>
      </c>
      <c r="AB253" s="160">
        <f t="shared" si="154"/>
        <v>2.0258251545252549E-2</v>
      </c>
      <c r="AC253" s="171" t="str">
        <f t="shared" si="155"/>
        <v>-0.00436875698107171-3.04485208647632i</v>
      </c>
      <c r="AD253" s="190">
        <f t="shared" si="156"/>
        <v>9.6713329450971131</v>
      </c>
      <c r="AE253" s="169">
        <f t="shared" si="157"/>
        <v>-90.082207988387196</v>
      </c>
      <c r="AF253" s="98" t="str">
        <f t="shared" si="143"/>
        <v>-0.0000366300366300366</v>
      </c>
      <c r="AG253" s="98" t="str">
        <f t="shared" si="144"/>
        <v>0.000970574683766022i</v>
      </c>
      <c r="AH253" s="98">
        <f t="shared" si="158"/>
        <v>9.7057468376602197E-4</v>
      </c>
      <c r="AI253" s="98">
        <f t="shared" si="159"/>
        <v>1.5707963267948966</v>
      </c>
      <c r="AJ253" s="98" t="str">
        <f t="shared" si="145"/>
        <v>1+0.138624403478449i</v>
      </c>
      <c r="AK253" s="98">
        <f t="shared" si="160"/>
        <v>1.0095626405725184</v>
      </c>
      <c r="AL253" s="98">
        <f t="shared" si="161"/>
        <v>0.137746534302604</v>
      </c>
      <c r="AM253" s="98" t="str">
        <f t="shared" si="146"/>
        <v>1+9.56508384001298i</v>
      </c>
      <c r="AN253" s="98">
        <f t="shared" si="162"/>
        <v>9.6172152344884871</v>
      </c>
      <c r="AO253" s="98">
        <f t="shared" si="163"/>
        <v>1.4666278351744728</v>
      </c>
      <c r="AP253" s="168" t="str">
        <f t="shared" si="164"/>
        <v>-0.349052260685787+0.0861277261009838i</v>
      </c>
      <c r="AQ253" s="98">
        <f t="shared" si="165"/>
        <v>-8.8855108260882183</v>
      </c>
      <c r="AR253" s="169">
        <f t="shared" si="166"/>
        <v>166.1392900138126</v>
      </c>
      <c r="AS253" s="168" t="str">
        <f t="shared" si="167"/>
        <v>0.263771111022671+1.06243623313373i</v>
      </c>
      <c r="AT253" s="190">
        <f t="shared" si="168"/>
        <v>0.78582211900891707</v>
      </c>
      <c r="AU253" s="169">
        <f t="shared" si="169"/>
        <v>76.057082025425458</v>
      </c>
      <c r="AV253" s="225"/>
      <c r="AX253">
        <f t="shared" si="170"/>
        <v>0</v>
      </c>
      <c r="AY253">
        <f t="shared" si="171"/>
        <v>0</v>
      </c>
    </row>
    <row r="254" spans="14:51" x14ac:dyDescent="0.3">
      <c r="N254" s="170">
        <v>36</v>
      </c>
      <c r="O254" s="199">
        <f t="shared" si="172"/>
        <v>2290.8676527677749</v>
      </c>
      <c r="P254" s="189" t="str">
        <f t="shared" si="138"/>
        <v>108.75</v>
      </c>
      <c r="Q254" s="160" t="str">
        <f t="shared" si="139"/>
        <v>1+36.5318348885181i</v>
      </c>
      <c r="R254" s="160">
        <f t="shared" si="147"/>
        <v>36.545519018368701</v>
      </c>
      <c r="S254" s="160">
        <f t="shared" si="148"/>
        <v>1.5434297751866883</v>
      </c>
      <c r="T254" s="160" t="str">
        <f t="shared" si="140"/>
        <v>1+0.00135303092179697i</v>
      </c>
      <c r="U254" s="160">
        <f t="shared" si="149"/>
        <v>1.0000009153459186</v>
      </c>
      <c r="V254" s="160">
        <f t="shared" si="150"/>
        <v>1.3530300961366109E-3</v>
      </c>
      <c r="W254" s="98" t="str">
        <f t="shared" si="141"/>
        <v>1-0.0107474796625008i</v>
      </c>
      <c r="X254" s="160">
        <f t="shared" si="151"/>
        <v>1.0000577524918728</v>
      </c>
      <c r="Y254" s="160">
        <f t="shared" si="152"/>
        <v>-1.0747065883407268E-2</v>
      </c>
      <c r="Z254" s="98" t="str">
        <f t="shared" si="142"/>
        <v>0.999893991675748+0.0207308642202731i</v>
      </c>
      <c r="AA254" s="160">
        <f t="shared" si="153"/>
        <v>1.0001088757333274</v>
      </c>
      <c r="AB254" s="160">
        <f t="shared" si="154"/>
        <v>2.0730092092999065E-2</v>
      </c>
      <c r="AC254" s="171" t="str">
        <f t="shared" si="155"/>
        <v>-0.00820541047390089-2.97558031609954i</v>
      </c>
      <c r="AD254" s="190">
        <f t="shared" si="156"/>
        <v>9.4714665672619738</v>
      </c>
      <c r="AE254" s="169">
        <f t="shared" si="157"/>
        <v>-90.157997482074549</v>
      </c>
      <c r="AF254" s="98" t="str">
        <f t="shared" si="143"/>
        <v>-0.0000366300366300366</v>
      </c>
      <c r="AG254" s="98" t="str">
        <f t="shared" si="144"/>
        <v>0.000993182272382879i</v>
      </c>
      <c r="AH254" s="98">
        <f t="shared" si="158"/>
        <v>9.9318227238287906E-4</v>
      </c>
      <c r="AI254" s="98">
        <f t="shared" si="159"/>
        <v>1.5707963267948966</v>
      </c>
      <c r="AJ254" s="98" t="str">
        <f t="shared" si="145"/>
        <v>1+0.141853380638597i</v>
      </c>
      <c r="AK254" s="98">
        <f t="shared" si="160"/>
        <v>1.0100110799385316</v>
      </c>
      <c r="AL254" s="98">
        <f t="shared" si="161"/>
        <v>0.1409132296936845</v>
      </c>
      <c r="AM254" s="98" t="str">
        <f t="shared" si="146"/>
        <v>1+9.78788326406316i</v>
      </c>
      <c r="AN254" s="98">
        <f t="shared" si="162"/>
        <v>9.8388342190997236</v>
      </c>
      <c r="AO254" s="98">
        <f t="shared" si="163"/>
        <v>1.468982458741531</v>
      </c>
      <c r="AP254" s="168" t="str">
        <f t="shared" si="164"/>
        <v>-0.348742374925842+0.0863517694009486i</v>
      </c>
      <c r="AQ254" s="98">
        <f t="shared" si="165"/>
        <v>-8.8914820256606006</v>
      </c>
      <c r="AR254" s="169">
        <f t="shared" si="166"/>
        <v>166.09276172563463</v>
      </c>
      <c r="AS254" s="168" t="str">
        <f t="shared" si="167"/>
        <v>0.259808199625739+1.03700239450606i</v>
      </c>
      <c r="AT254" s="190">
        <f t="shared" si="168"/>
        <v>0.57998454160138324</v>
      </c>
      <c r="AU254" s="169">
        <f t="shared" si="169"/>
        <v>75.934764243560082</v>
      </c>
      <c r="AV254" s="225"/>
      <c r="AX254">
        <f t="shared" si="170"/>
        <v>0</v>
      </c>
      <c r="AY254">
        <f t="shared" si="171"/>
        <v>0</v>
      </c>
    </row>
    <row r="255" spans="14:51" x14ac:dyDescent="0.3">
      <c r="N255" s="170">
        <v>37</v>
      </c>
      <c r="O255" s="199">
        <f t="shared" si="172"/>
        <v>2344.2288153199238</v>
      </c>
      <c r="P255" s="189" t="str">
        <f t="shared" si="138"/>
        <v>108.75</v>
      </c>
      <c r="Q255" s="160" t="str">
        <f t="shared" si="139"/>
        <v>1+37.3827706365782i</v>
      </c>
      <c r="R255" s="160">
        <f t="shared" si="147"/>
        <v>37.396143390288437</v>
      </c>
      <c r="S255" s="160">
        <f t="shared" si="148"/>
        <v>1.5440524135079132</v>
      </c>
      <c r="T255" s="160" t="str">
        <f t="shared" si="140"/>
        <v>1+0.00138454706061401i</v>
      </c>
      <c r="U255" s="160">
        <f t="shared" si="149"/>
        <v>1.0000009584848222</v>
      </c>
      <c r="V255" s="160">
        <f t="shared" si="150"/>
        <v>1.3845461759030414E-3</v>
      </c>
      <c r="W255" s="98" t="str">
        <f t="shared" si="141"/>
        <v>1-0.010997820623317i</v>
      </c>
      <c r="X255" s="160">
        <f t="shared" si="151"/>
        <v>1.0000604742006669</v>
      </c>
      <c r="Y255" s="160">
        <f t="shared" si="152"/>
        <v>-1.0997377252478194E-2</v>
      </c>
      <c r="Z255" s="98" t="str">
        <f t="shared" si="142"/>
        <v>0.999888995657345+0.0212137480805293i</v>
      </c>
      <c r="AA255" s="160">
        <f t="shared" si="153"/>
        <v>1.0001140068733556</v>
      </c>
      <c r="AB255" s="160">
        <f t="shared" si="154"/>
        <v>2.1212920733990316E-2</v>
      </c>
      <c r="AC255" s="171" t="str">
        <f t="shared" si="155"/>
        <v>-0.0118695494135296-2.90787678732434i</v>
      </c>
      <c r="AD255" s="190">
        <f t="shared" si="156"/>
        <v>9.2715923724282394</v>
      </c>
      <c r="AE255" s="169">
        <f t="shared" si="157"/>
        <v>-90.233872120055153</v>
      </c>
      <c r="AF255" s="98" t="str">
        <f t="shared" si="143"/>
        <v>-0.0000366300366300366</v>
      </c>
      <c r="AG255" s="98" t="str">
        <f t="shared" si="144"/>
        <v>0.00101631645938688i</v>
      </c>
      <c r="AH255" s="98">
        <f t="shared" si="158"/>
        <v>1.0163164593868801E-3</v>
      </c>
      <c r="AI255" s="98">
        <f t="shared" si="159"/>
        <v>1.5707963267948966</v>
      </c>
      <c r="AJ255" s="98" t="str">
        <f t="shared" si="145"/>
        <v>1+0.145157570338811i</v>
      </c>
      <c r="AK255" s="98">
        <f t="shared" si="160"/>
        <v>1.010480440298904</v>
      </c>
      <c r="AL255" s="98">
        <f t="shared" si="161"/>
        <v>0.14415074389654975</v>
      </c>
      <c r="AM255" s="98" t="str">
        <f t="shared" si="146"/>
        <v>1+10.0158723533779i</v>
      </c>
      <c r="AN255" s="98">
        <f t="shared" si="162"/>
        <v>10.065669326932994</v>
      </c>
      <c r="AO255" s="98">
        <f t="shared" si="163"/>
        <v>1.4712845797360412</v>
      </c>
      <c r="AP255" s="168" t="str">
        <f t="shared" si="164"/>
        <v>-0.348418473888591+0.0866175385930714i</v>
      </c>
      <c r="AQ255" s="98">
        <f t="shared" si="165"/>
        <v>-8.8975371692864016</v>
      </c>
      <c r="AR255" s="169">
        <f t="shared" si="166"/>
        <v>166.03916764261072</v>
      </c>
      <c r="AS255" s="168" t="str">
        <f t="shared" si="167"/>
        <v>0.25600870014237+1.0121298813412i</v>
      </c>
      <c r="AT255" s="190">
        <f t="shared" si="168"/>
        <v>0.37405520314186791</v>
      </c>
      <c r="AU255" s="169">
        <f t="shared" si="169"/>
        <v>75.805295522555596</v>
      </c>
      <c r="AV255" s="225"/>
      <c r="AX255">
        <f t="shared" si="170"/>
        <v>0</v>
      </c>
      <c r="AY255">
        <f t="shared" si="171"/>
        <v>0</v>
      </c>
    </row>
    <row r="256" spans="14:51" x14ac:dyDescent="0.3">
      <c r="N256" s="170">
        <v>38</v>
      </c>
      <c r="O256" s="199">
        <f t="shared" si="172"/>
        <v>2398.8329190194918</v>
      </c>
      <c r="P256" s="189" t="str">
        <f t="shared" si="138"/>
        <v>108.75</v>
      </c>
      <c r="Q256" s="160" t="str">
        <f t="shared" si="139"/>
        <v>1+38.2535272244491i</v>
      </c>
      <c r="R256" s="160">
        <f t="shared" si="147"/>
        <v>38.266595682287559</v>
      </c>
      <c r="S256" s="160">
        <f t="shared" si="148"/>
        <v>1.5446608988930166</v>
      </c>
      <c r="T256" s="160" t="str">
        <f t="shared" si="140"/>
        <v>1+0.00141679730460923i</v>
      </c>
      <c r="U256" s="160">
        <f t="shared" si="149"/>
        <v>1.0000010036567974</v>
      </c>
      <c r="V256" s="160">
        <f t="shared" si="150"/>
        <v>1.416796356624399E-3</v>
      </c>
      <c r="W256" s="98" t="str">
        <f t="shared" si="141"/>
        <v>1-0.011253992774201i</v>
      </c>
      <c r="X256" s="160">
        <f t="shared" si="151"/>
        <v>1.0000633241717056</v>
      </c>
      <c r="Y256" s="160">
        <f t="shared" si="152"/>
        <v>-1.1253517695412529E-2</v>
      </c>
      <c r="Z256" s="98" t="str">
        <f t="shared" si="142"/>
        <v>0.999883764183848+0.0217078797508148i</v>
      </c>
      <c r="AA256" s="160">
        <f t="shared" si="153"/>
        <v>1.0001193798350958</v>
      </c>
      <c r="AB256" s="160">
        <f t="shared" si="154"/>
        <v>2.1706993236101872E-2</v>
      </c>
      <c r="AC256" s="171" t="str">
        <f t="shared" si="155"/>
        <v>-0.0153689117929468-2.84170623289854i</v>
      </c>
      <c r="AD256" s="190">
        <f t="shared" si="156"/>
        <v>9.071710626779101</v>
      </c>
      <c r="AE256" s="169">
        <f t="shared" si="157"/>
        <v>-90.309872000760308</v>
      </c>
      <c r="AF256" s="98" t="str">
        <f t="shared" si="143"/>
        <v>-0.0000366300366300366</v>
      </c>
      <c r="AG256" s="98" t="str">
        <f t="shared" si="144"/>
        <v>0.00103998951083018i</v>
      </c>
      <c r="AH256" s="98">
        <f t="shared" si="158"/>
        <v>1.0399895108301801E-3</v>
      </c>
      <c r="AI256" s="98">
        <f t="shared" si="159"/>
        <v>1.5707963267948966</v>
      </c>
      <c r="AJ256" s="98" t="str">
        <f t="shared" si="145"/>
        <v>1+0.148538724504205i</v>
      </c>
      <c r="AK256" s="98">
        <f t="shared" si="160"/>
        <v>1.0109716873767218</v>
      </c>
      <c r="AL256" s="98">
        <f t="shared" si="161"/>
        <v>0.14746052187036623</v>
      </c>
      <c r="AM256" s="98" t="str">
        <f t="shared" si="146"/>
        <v>1+10.2491719907901i</v>
      </c>
      <c r="AN256" s="98">
        <f t="shared" si="162"/>
        <v>10.297840865773578</v>
      </c>
      <c r="AO256" s="98">
        <f t="shared" si="163"/>
        <v>1.4735353211140108</v>
      </c>
      <c r="AP256" s="168" t="str">
        <f t="shared" si="164"/>
        <v>-0.348079952098655+0.0869248964129076i</v>
      </c>
      <c r="AQ256" s="98">
        <f t="shared" si="165"/>
        <v>-8.9036884601242292</v>
      </c>
      <c r="AR256" s="169">
        <f t="shared" si="166"/>
        <v>165.97848931531874</v>
      </c>
      <c r="AS256" s="168" t="str">
        <f t="shared" si="167"/>
        <v>0.252364630011317+0.987805028360192i</v>
      </c>
      <c r="AT256" s="190">
        <f t="shared" si="168"/>
        <v>0.16802216665487302</v>
      </c>
      <c r="AU256" s="169">
        <f t="shared" si="169"/>
        <v>75.668617314558432</v>
      </c>
      <c r="AV256" s="225"/>
      <c r="AX256">
        <f t="shared" si="170"/>
        <v>2398.8329190194918</v>
      </c>
      <c r="AY256">
        <f t="shared" si="171"/>
        <v>75.668617314558432</v>
      </c>
    </row>
    <row r="257" spans="14:51" x14ac:dyDescent="0.3">
      <c r="N257" s="170">
        <v>39</v>
      </c>
      <c r="O257" s="199">
        <f t="shared" si="172"/>
        <v>2454.7089156850338</v>
      </c>
      <c r="P257" s="189" t="str">
        <f t="shared" si="138"/>
        <v>108.75</v>
      </c>
      <c r="Q257" s="160" t="str">
        <f t="shared" si="139"/>
        <v>1+39.1445663387997i</v>
      </c>
      <c r="R257" s="160">
        <f t="shared" si="147"/>
        <v>39.157337420369764</v>
      </c>
      <c r="S257" s="160">
        <f t="shared" si="148"/>
        <v>1.5452555521656171</v>
      </c>
      <c r="T257" s="160" t="str">
        <f t="shared" si="140"/>
        <v>1+0.00144979875328888i</v>
      </c>
      <c r="U257" s="160">
        <f t="shared" si="149"/>
        <v>1.0000010509576602</v>
      </c>
      <c r="V257" s="160">
        <f t="shared" si="150"/>
        <v>1.4497977375048903E-3</v>
      </c>
      <c r="W257" s="98" t="str">
        <f t="shared" si="141"/>
        <v>1-0.0115161319410181i</v>
      </c>
      <c r="X257" s="160">
        <f t="shared" si="151"/>
        <v>1.0000663084490362</v>
      </c>
      <c r="Y257" s="160">
        <f t="shared" si="152"/>
        <v>-1.1515622886747661E-2</v>
      </c>
      <c r="Z257" s="98" t="str">
        <f t="shared" si="142"/>
        <v>0.999878286158601+0.0222135212262821i</v>
      </c>
      <c r="AA257" s="160">
        <f t="shared" si="153"/>
        <v>1.0001250060151139</v>
      </c>
      <c r="AB257" s="160">
        <f t="shared" si="154"/>
        <v>2.2212571312103795E-2</v>
      </c>
      <c r="AC257" s="171" t="str">
        <f t="shared" si="155"/>
        <v>-0.0187108890919621-2.7770341564289i</v>
      </c>
      <c r="AD257" s="190">
        <f t="shared" si="156"/>
        <v>8.8718215805430507</v>
      </c>
      <c r="AE257" s="169">
        <f t="shared" si="157"/>
        <v>-90.386037294932635</v>
      </c>
      <c r="AF257" s="98" t="str">
        <f t="shared" si="143"/>
        <v>-0.0000366300366300366</v>
      </c>
      <c r="AG257" s="98" t="str">
        <f t="shared" si="144"/>
        <v>0.00106421397847801i</v>
      </c>
      <c r="AH257" s="98">
        <f t="shared" si="158"/>
        <v>1.06421397847801E-3</v>
      </c>
      <c r="AI257" s="98">
        <f t="shared" si="159"/>
        <v>1.5707963267948966</v>
      </c>
      <c r="AJ257" s="98" t="str">
        <f t="shared" si="145"/>
        <v>1+0.151998635867475i</v>
      </c>
      <c r="AK257" s="98">
        <f t="shared" si="160"/>
        <v>1.0114858305016305</v>
      </c>
      <c r="AL257" s="98">
        <f t="shared" si="161"/>
        <v>0.15084402829333918</v>
      </c>
      <c r="AM257" s="98" t="str">
        <f t="shared" si="146"/>
        <v>1+10.4879058748557i</v>
      </c>
      <c r="AN257" s="98">
        <f t="shared" si="162"/>
        <v>10.535471970435529</v>
      </c>
      <c r="AO257" s="98">
        <f t="shared" si="163"/>
        <v>1.4757357849831132</v>
      </c>
      <c r="AP257" s="168" t="str">
        <f t="shared" si="164"/>
        <v>-0.347726180597289+0.0872737091783267i</v>
      </c>
      <c r="AQ257" s="98">
        <f t="shared" si="165"/>
        <v>-8.9099482685452482</v>
      </c>
      <c r="AR257" s="169">
        <f t="shared" si="166"/>
        <v>165.91070596999757</v>
      </c>
      <c r="AS257" s="168" t="str">
        <f t="shared" si="167"/>
        <v>0.248868337345983+0.964014511910156i</v>
      </c>
      <c r="AT257" s="190">
        <f t="shared" si="168"/>
        <v>-3.8126688002197033E-2</v>
      </c>
      <c r="AU257" s="169">
        <f t="shared" si="169"/>
        <v>75.524668675064959</v>
      </c>
      <c r="AV257" s="225"/>
      <c r="AX257">
        <f t="shared" si="170"/>
        <v>0</v>
      </c>
      <c r="AY257">
        <f t="shared" si="171"/>
        <v>0</v>
      </c>
    </row>
    <row r="258" spans="14:51" x14ac:dyDescent="0.3">
      <c r="N258" s="170">
        <v>40</v>
      </c>
      <c r="O258" s="199">
        <f t="shared" si="172"/>
        <v>2511.8864315095811</v>
      </c>
      <c r="P258" s="189" t="str">
        <f t="shared" si="138"/>
        <v>108.75</v>
      </c>
      <c r="Q258" s="160" t="str">
        <f t="shared" si="139"/>
        <v>1+40.056360420363i</v>
      </c>
      <c r="R258" s="160">
        <f t="shared" si="147"/>
        <v>40.068840888226646</v>
      </c>
      <c r="S258" s="160">
        <f t="shared" si="148"/>
        <v>1.5458366869355724</v>
      </c>
      <c r="T258" s="160" t="str">
        <f t="shared" si="140"/>
        <v>1+0.00148356890445789i</v>
      </c>
      <c r="U258" s="160">
        <f t="shared" si="149"/>
        <v>1.0000011004877416</v>
      </c>
      <c r="V258" s="160">
        <f t="shared" si="150"/>
        <v>1.4835678160257998E-3</v>
      </c>
      <c r="W258" s="98" t="str">
        <f t="shared" si="141"/>
        <v>1-0.0117843771134244i</v>
      </c>
      <c r="X258" s="160">
        <f t="shared" si="151"/>
        <v>1.0000694333614799</v>
      </c>
      <c r="Y258" s="160">
        <f t="shared" si="152"/>
        <v>-1.178383165399154E-2</v>
      </c>
      <c r="Z258" s="98" t="str">
        <f t="shared" si="142"/>
        <v>0.999872549961978+0.0227309406047343i</v>
      </c>
      <c r="AA258" s="160">
        <f t="shared" si="153"/>
        <v>1.0001308973470642</v>
      </c>
      <c r="AB258" s="160">
        <f t="shared" si="154"/>
        <v>2.2729922757225945E-2</v>
      </c>
      <c r="AC258" s="171" t="str">
        <f t="shared" si="155"/>
        <v>-0.0219025416921228-2.71382681688057i</v>
      </c>
      <c r="AD258" s="190">
        <f t="shared" si="156"/>
        <v>8.6719254685193796</v>
      </c>
      <c r="AE258" s="169">
        <f t="shared" si="157"/>
        <v>-90.462408266328282</v>
      </c>
      <c r="AF258" s="98" t="str">
        <f t="shared" si="143"/>
        <v>-0.0000366300366300366</v>
      </c>
      <c r="AG258" s="98" t="str">
        <f t="shared" si="144"/>
        <v>0.00108900270646377i</v>
      </c>
      <c r="AH258" s="98">
        <f t="shared" si="158"/>
        <v>1.08900270646377E-3</v>
      </c>
      <c r="AI258" s="98">
        <f t="shared" si="159"/>
        <v>1.5707963267948966</v>
      </c>
      <c r="AJ258" s="98" t="str">
        <f t="shared" si="145"/>
        <v>1+0.155539138919421i</v>
      </c>
      <c r="AK258" s="98">
        <f t="shared" si="160"/>
        <v>1.0120239244878526</v>
      </c>
      <c r="AL258" s="98">
        <f t="shared" si="161"/>
        <v>0.15430274710690087</v>
      </c>
      <c r="AM258" s="98" t="str">
        <f t="shared" si="146"/>
        <v>1+10.73220058544i</v>
      </c>
      <c r="AN258" s="98">
        <f t="shared" si="162"/>
        <v>10.778688668206287</v>
      </c>
      <c r="AO258" s="98">
        <f t="shared" si="163"/>
        <v>1.4778870527736199</v>
      </c>
      <c r="AP258" s="168" t="str">
        <f t="shared" si="164"/>
        <v>-0.347356506286237+0.0876638455631131i</v>
      </c>
      <c r="AQ258" s="98">
        <f t="shared" si="165"/>
        <v>-8.9163291529836801</v>
      </c>
      <c r="AR258" s="169">
        <f t="shared" si="166"/>
        <v>165.83579454445646</v>
      </c>
      <c r="AS258" s="168" t="str">
        <f t="shared" si="167"/>
        <v>0.245512485321018+0.940745340745196i</v>
      </c>
      <c r="AT258" s="190">
        <f t="shared" si="168"/>
        <v>-0.24440368446430127</v>
      </c>
      <c r="AU258" s="169">
        <f t="shared" si="169"/>
        <v>75.373386278128137</v>
      </c>
      <c r="AV258" s="225"/>
      <c r="AX258">
        <f t="shared" si="170"/>
        <v>0</v>
      </c>
      <c r="AY258">
        <f t="shared" si="171"/>
        <v>0</v>
      </c>
    </row>
    <row r="259" spans="14:51" x14ac:dyDescent="0.3">
      <c r="N259" s="170">
        <v>41</v>
      </c>
      <c r="O259" s="199">
        <f t="shared" si="172"/>
        <v>2570.3957827688669</v>
      </c>
      <c r="P259" s="189" t="str">
        <f t="shared" si="138"/>
        <v>108.75</v>
      </c>
      <c r="Q259" s="160" t="str">
        <f t="shared" si="139"/>
        <v>1+40.9893929144295i</v>
      </c>
      <c r="R259" s="160">
        <f t="shared" si="147"/>
        <v>41.00158937765076</v>
      </c>
      <c r="S259" s="160">
        <f t="shared" si="148"/>
        <v>1.5464046097572548</v>
      </c>
      <c r="T259" s="160" t="str">
        <f t="shared" si="140"/>
        <v>1+0.0015181256634974i</v>
      </c>
      <c r="U259" s="160">
        <f t="shared" si="149"/>
        <v>1.0000011523521011</v>
      </c>
      <c r="V259" s="160">
        <f t="shared" si="150"/>
        <v>1.5181244972214754E-3</v>
      </c>
      <c r="W259" s="98" t="str">
        <f t="shared" si="141"/>
        <v>1-0.0120588705185609i</v>
      </c>
      <c r="X259" s="160">
        <f t="shared" si="151"/>
        <v>1.0000727055360441</v>
      </c>
      <c r="Y259" s="160">
        <f t="shared" si="152"/>
        <v>-1.2058286050543241E-2</v>
      </c>
      <c r="Z259" s="98" t="str">
        <f t="shared" si="142"/>
        <v>0.999866543426738+0.0232604122287746i</v>
      </c>
      <c r="AA259" s="160">
        <f t="shared" si="153"/>
        <v>1.0001370663270037</v>
      </c>
      <c r="AB259" s="160">
        <f t="shared" si="154"/>
        <v>2.3259321589864025E-2</v>
      </c>
      <c r="AC259" s="171" t="str">
        <f t="shared" si="155"/>
        <v>-0.0249506136124462-2.652051213292i</v>
      </c>
      <c r="AD259" s="190">
        <f t="shared" si="156"/>
        <v>8.4720225105713283</v>
      </c>
      <c r="AE259" s="169">
        <f t="shared" si="157"/>
        <v>-90.539025292493903</v>
      </c>
      <c r="AF259" s="98" t="str">
        <f t="shared" si="143"/>
        <v>-0.0000366300366300366</v>
      </c>
      <c r="AG259" s="98" t="str">
        <f t="shared" si="144"/>
        <v>0.00111436883809915i</v>
      </c>
      <c r="AH259" s="98">
        <f t="shared" si="158"/>
        <v>1.1143688380991501E-3</v>
      </c>
      <c r="AI259" s="98">
        <f t="shared" si="159"/>
        <v>1.5707963267948966</v>
      </c>
      <c r="AJ259" s="98" t="str">
        <f t="shared" si="145"/>
        <v>1+0.159162110881626i</v>
      </c>
      <c r="AK259" s="98">
        <f t="shared" si="160"/>
        <v>1.0125870715846095</v>
      </c>
      <c r="AL259" s="98">
        <f t="shared" si="161"/>
        <v>0.157838180993285</v>
      </c>
      <c r="AM259" s="98" t="str">
        <f t="shared" si="146"/>
        <v>1+10.9821856508322i</v>
      </c>
      <c r="AN259" s="98">
        <f t="shared" si="162"/>
        <v>11.027619945815356</v>
      </c>
      <c r="AO259" s="98">
        <f t="shared" si="163"/>
        <v>1.4799901854245443</v>
      </c>
      <c r="AP259" s="168" t="str">
        <f t="shared" si="164"/>
        <v>-0.346970251279+0.08809517530789i</v>
      </c>
      <c r="AQ259" s="98">
        <f t="shared" si="165"/>
        <v>-8.9228438808713229</v>
      </c>
      <c r="AR259" s="169">
        <f t="shared" si="166"/>
        <v>165.75372972867322</v>
      </c>
      <c r="AS259" s="168" t="str">
        <f t="shared" si="167"/>
        <v>0.242290037235137+0.917984847200474i</v>
      </c>
      <c r="AT259" s="190">
        <f t="shared" si="168"/>
        <v>-0.45082137029999692</v>
      </c>
      <c r="AU259" s="169">
        <f t="shared" si="169"/>
        <v>75.214704436179332</v>
      </c>
      <c r="AV259" s="225"/>
      <c r="AX259">
        <f t="shared" si="170"/>
        <v>0</v>
      </c>
      <c r="AY259">
        <f t="shared" si="171"/>
        <v>0</v>
      </c>
    </row>
    <row r="260" spans="14:51" x14ac:dyDescent="0.3">
      <c r="N260" s="170">
        <v>42</v>
      </c>
      <c r="O260" s="199">
        <f t="shared" si="172"/>
        <v>2630.2679918953822</v>
      </c>
      <c r="P260" s="189" t="str">
        <f t="shared" si="138"/>
        <v>108.75</v>
      </c>
      <c r="Q260" s="160" t="str">
        <f t="shared" si="139"/>
        <v>1+41.9441585271781i</v>
      </c>
      <c r="R260" s="160">
        <f t="shared" si="147"/>
        <v>41.956077444787979</v>
      </c>
      <c r="S260" s="160">
        <f t="shared" si="148"/>
        <v>1.5469596202846165</v>
      </c>
      <c r="T260" s="160" t="str">
        <f t="shared" si="140"/>
        <v>1+0.00155348735285845i</v>
      </c>
      <c r="U260" s="160">
        <f t="shared" si="149"/>
        <v>1.0000012066607498</v>
      </c>
      <c r="V260" s="160">
        <f t="shared" si="150"/>
        <v>1.5534861031713629E-3</v>
      </c>
      <c r="W260" s="98" t="str">
        <f t="shared" si="141"/>
        <v>1-0.0123397576964643i</v>
      </c>
      <c r="X260" s="160">
        <f t="shared" si="151"/>
        <v>1.0000761319119698</v>
      </c>
      <c r="Y260" s="160">
        <f t="shared" si="152"/>
        <v>-1.2339131430274951E-2</v>
      </c>
      <c r="Z260" s="98" t="str">
        <f t="shared" si="142"/>
        <v>0.999860253812212+0.0238022168312666i</v>
      </c>
      <c r="AA260" s="160">
        <f t="shared" si="153"/>
        <v>1.0001435260398899</v>
      </c>
      <c r="AB260" s="160">
        <f t="shared" si="154"/>
        <v>2.3801048195493366E-2</v>
      </c>
      <c r="AC260" s="171" t="str">
        <f t="shared" si="155"/>
        <v>-0.0278615465951927-2.5916750697097i</v>
      </c>
      <c r="AD260" s="190">
        <f t="shared" si="156"/>
        <v>8.2721129120887085</v>
      </c>
      <c r="AE260" s="169">
        <f t="shared" si="157"/>
        <v>-90.615928885626204</v>
      </c>
      <c r="AF260" s="98" t="str">
        <f t="shared" si="143"/>
        <v>-0.0000366300366300366</v>
      </c>
      <c r="AG260" s="98" t="str">
        <f t="shared" si="144"/>
        <v>0.00114032582284291i</v>
      </c>
      <c r="AH260" s="98">
        <f t="shared" si="158"/>
        <v>1.1403258228429101E-3</v>
      </c>
      <c r="AI260" s="98">
        <f t="shared" si="159"/>
        <v>1.5707963267948966</v>
      </c>
      <c r="AJ260" s="98" t="str">
        <f t="shared" si="145"/>
        <v>1+0.16286947270178i</v>
      </c>
      <c r="AK260" s="98">
        <f t="shared" si="160"/>
        <v>1.0131764235009399</v>
      </c>
      <c r="AL260" s="98">
        <f t="shared" si="161"/>
        <v>0.16145185078196272</v>
      </c>
      <c r="AM260" s="98" t="str">
        <f t="shared" si="146"/>
        <v>1+11.2379936164228i</v>
      </c>
      <c r="AN260" s="98">
        <f t="shared" si="162"/>
        <v>11.282397817962263</v>
      </c>
      <c r="AO260" s="98">
        <f t="shared" si="163"/>
        <v>1.4820462235834935</v>
      </c>
      <c r="AP260" s="168" t="str">
        <f t="shared" si="164"/>
        <v>-0.346566712262814+0.0885675678651402i</v>
      </c>
      <c r="AQ260" s="98">
        <f t="shared" si="165"/>
        <v>-8.9295054496603292</v>
      </c>
      <c r="AR260" s="169">
        <f t="shared" si="166"/>
        <v>165.66448401025374</v>
      </c>
      <c r="AS260" s="168" t="str">
        <f t="shared" si="167"/>
        <v>0.239194242222959+0.895720678743893i</v>
      </c>
      <c r="AT260" s="190">
        <f t="shared" si="168"/>
        <v>-0.65739253757161786</v>
      </c>
      <c r="AU260" s="169">
        <f t="shared" si="169"/>
        <v>75.048555124627569</v>
      </c>
      <c r="AV260" s="225"/>
      <c r="AX260">
        <f t="shared" si="170"/>
        <v>0</v>
      </c>
      <c r="AY260">
        <f t="shared" si="171"/>
        <v>0</v>
      </c>
    </row>
    <row r="261" spans="14:51" x14ac:dyDescent="0.3">
      <c r="N261" s="170">
        <v>43</v>
      </c>
      <c r="O261" s="199">
        <f t="shared" si="172"/>
        <v>2691.5348039269184</v>
      </c>
      <c r="P261" s="189" t="str">
        <f t="shared" si="138"/>
        <v>108.75</v>
      </c>
      <c r="Q261" s="160" t="str">
        <f t="shared" si="139"/>
        <v>1+42.9211634879745i</v>
      </c>
      <c r="R261" s="160">
        <f t="shared" si="147"/>
        <v>42.932811172359024</v>
      </c>
      <c r="S261" s="160">
        <f t="shared" si="148"/>
        <v>1.5475020114230928</v>
      </c>
      <c r="T261" s="160" t="str">
        <f t="shared" si="140"/>
        <v>1+0.00158967272177684i</v>
      </c>
      <c r="U261" s="160">
        <f t="shared" si="149"/>
        <v>1.0000012635288829</v>
      </c>
      <c r="V261" s="160">
        <f t="shared" si="150"/>
        <v>1.5896713827130921E-3</v>
      </c>
      <c r="W261" s="98" t="str">
        <f t="shared" si="141"/>
        <v>1-0.0126271875772345i</v>
      </c>
      <c r="X261" s="160">
        <f t="shared" si="151"/>
        <v>1.0000797197554356</v>
      </c>
      <c r="Y261" s="160">
        <f t="shared" si="152"/>
        <v>-1.2626516523811415E-2</v>
      </c>
      <c r="Z261" s="98" t="str">
        <f t="shared" si="142"/>
        <v>0.999853667777286+0.0243566416841821i</v>
      </c>
      <c r="AA261" s="160">
        <f t="shared" si="153"/>
        <v>1.0001502901873414</v>
      </c>
      <c r="AB261" s="160">
        <f t="shared" si="154"/>
        <v>2.4355389473859488E-2</v>
      </c>
      <c r="AC261" s="171" t="str">
        <f t="shared" si="155"/>
        <v>-0.0306414935697037-2.53266682034578i</v>
      </c>
      <c r="AD261" s="190">
        <f t="shared" si="156"/>
        <v>8.0721968644194106</v>
      </c>
      <c r="AE261" s="169">
        <f t="shared" si="157"/>
        <v>-90.693159713522832</v>
      </c>
      <c r="AF261" s="98" t="str">
        <f t="shared" si="143"/>
        <v>-0.0000366300366300366</v>
      </c>
      <c r="AG261" s="98" t="str">
        <f t="shared" si="144"/>
        <v>0.00116688742343193i</v>
      </c>
      <c r="AH261" s="98">
        <f t="shared" si="158"/>
        <v>1.1668874234319301E-3</v>
      </c>
      <c r="AI261" s="98">
        <f t="shared" si="159"/>
        <v>1.5707963267948966</v>
      </c>
      <c r="AJ261" s="98" t="str">
        <f t="shared" si="145"/>
        <v>1+0.166663190072194i</v>
      </c>
      <c r="AK261" s="98">
        <f t="shared" si="160"/>
        <v>1.0137931835068927</v>
      </c>
      <c r="AL261" s="98">
        <f t="shared" si="161"/>
        <v>0.16514529478025991</v>
      </c>
      <c r="AM261" s="98" t="str">
        <f t="shared" si="146"/>
        <v>1+11.4997601149813i</v>
      </c>
      <c r="AN261" s="98">
        <f t="shared" si="162"/>
        <v>11.543157397441771</v>
      </c>
      <c r="AO261" s="98">
        <f t="shared" si="163"/>
        <v>1.4840561878188354</v>
      </c>
      <c r="AP261" s="168" t="str">
        <f t="shared" si="164"/>
        <v>-0.346145159875102+0.0890808909751245i</v>
      </c>
      <c r="AQ261" s="98">
        <f t="shared" si="165"/>
        <v>-8.9363271079336499</v>
      </c>
      <c r="AR261" s="169">
        <f t="shared" si="166"/>
        <v>165.56802772494075</v>
      </c>
      <c r="AS261" s="168" t="str">
        <f t="shared" si="167"/>
        <v>0.236218621590035+0.873940789890959i</v>
      </c>
      <c r="AT261" s="190">
        <f t="shared" si="168"/>
        <v>-0.86413024351423573</v>
      </c>
      <c r="AU261" s="169">
        <f t="shared" si="169"/>
        <v>74.874868011417902</v>
      </c>
      <c r="AV261" s="225"/>
      <c r="AX261">
        <f t="shared" si="170"/>
        <v>0</v>
      </c>
      <c r="AY261">
        <f t="shared" si="171"/>
        <v>0</v>
      </c>
    </row>
    <row r="262" spans="14:51" x14ac:dyDescent="0.3">
      <c r="N262" s="170">
        <v>44</v>
      </c>
      <c r="O262" s="199">
        <f t="shared" si="172"/>
        <v>2754.228703338169</v>
      </c>
      <c r="P262" s="189" t="str">
        <f t="shared" si="138"/>
        <v>108.75</v>
      </c>
      <c r="Q262" s="160" t="str">
        <f t="shared" si="139"/>
        <v>1+43.9209258177809i</v>
      </c>
      <c r="R262" s="160">
        <f t="shared" si="147"/>
        <v>43.932308437993697</v>
      </c>
      <c r="S262" s="160">
        <f t="shared" si="148"/>
        <v>1.5480320694783931</v>
      </c>
      <c r="T262" s="160" t="str">
        <f t="shared" si="140"/>
        <v>1+0.00162670095621411i</v>
      </c>
      <c r="U262" s="160">
        <f t="shared" si="149"/>
        <v>1.0000013230771252</v>
      </c>
      <c r="V262" s="160">
        <f t="shared" si="150"/>
        <v>1.6266995213815559E-3</v>
      </c>
      <c r="W262" s="98" t="str">
        <f t="shared" si="141"/>
        <v>1-0.0129213125599986i</v>
      </c>
      <c r="X262" s="160">
        <f t="shared" si="151"/>
        <v>1.0000834766749589</v>
      </c>
      <c r="Y262" s="160">
        <f t="shared" si="152"/>
        <v>-1.2920593516542419E-2</v>
      </c>
      <c r="Z262" s="98" t="str">
        <f t="shared" si="142"/>
        <v>0.999846771352096+0.0249239807509169i</v>
      </c>
      <c r="AA262" s="160">
        <f t="shared" si="153"/>
        <v>1.0001573731166924</v>
      </c>
      <c r="AB262" s="160">
        <f t="shared" si="154"/>
        <v>2.4922638989518492E-2</v>
      </c>
      <c r="AC262" s="171" t="str">
        <f t="shared" si="155"/>
        <v>-0.0332963315211863-2.4749955949615i</v>
      </c>
      <c r="AD262" s="190">
        <f t="shared" si="156"/>
        <v>7.8722745452719316</v>
      </c>
      <c r="AE262" s="169">
        <f t="shared" si="157"/>
        <v>-90.770758620633003</v>
      </c>
      <c r="AF262" s="98" t="str">
        <f t="shared" si="143"/>
        <v>-0.0000366300366300366</v>
      </c>
      <c r="AG262" s="98" t="str">
        <f t="shared" si="144"/>
        <v>0.00119406772317844i</v>
      </c>
      <c r="AH262" s="98">
        <f t="shared" si="158"/>
        <v>1.1940677231784399E-3</v>
      </c>
      <c r="AI262" s="98">
        <f t="shared" si="159"/>
        <v>1.5707963267948966</v>
      </c>
      <c r="AJ262" s="98" t="str">
        <f t="shared" si="145"/>
        <v>1+0.170545274472031i</v>
      </c>
      <c r="AK262" s="98">
        <f t="shared" si="160"/>
        <v>1.0144386086130299</v>
      </c>
      <c r="AL262" s="98">
        <f t="shared" si="161"/>
        <v>0.16892006802324561</v>
      </c>
      <c r="AM262" s="98" t="str">
        <f t="shared" si="146"/>
        <v>1+11.7676239385701i</v>
      </c>
      <c r="AN262" s="98">
        <f t="shared" si="162"/>
        <v>11.81003696690269</v>
      </c>
      <c r="AO262" s="98">
        <f t="shared" si="163"/>
        <v>1.4860210788428654</v>
      </c>
      <c r="AP262" s="168" t="str">
        <f t="shared" si="164"/>
        <v>-0.345704838098381+0.089635009169464i</v>
      </c>
      <c r="AQ262" s="98">
        <f t="shared" si="165"/>
        <v>-8.9433223766043408</v>
      </c>
      <c r="AR262" s="169">
        <f t="shared" si="166"/>
        <v>165.46432911237883</v>
      </c>
      <c r="AS262" s="168" t="str">
        <f t="shared" si="167"/>
        <v>0.233356955746559+0.85263343446916i</v>
      </c>
      <c r="AT262" s="190">
        <f t="shared" si="168"/>
        <v>-1.0710478313324141</v>
      </c>
      <c r="AU262" s="169">
        <f t="shared" si="169"/>
        <v>74.693570491745803</v>
      </c>
      <c r="AV262" s="225"/>
      <c r="AX262">
        <f t="shared" si="170"/>
        <v>0</v>
      </c>
      <c r="AY262">
        <f t="shared" si="171"/>
        <v>0</v>
      </c>
    </row>
    <row r="263" spans="14:51" x14ac:dyDescent="0.3">
      <c r="N263" s="170">
        <v>45</v>
      </c>
      <c r="O263" s="199">
        <f t="shared" si="172"/>
        <v>2818.3829312644561</v>
      </c>
      <c r="P263" s="189" t="str">
        <f t="shared" si="138"/>
        <v>108.75</v>
      </c>
      <c r="Q263" s="160" t="str">
        <f t="shared" si="139"/>
        <v>1+44.9439756038181i</v>
      </c>
      <c r="R263" s="160">
        <f t="shared" si="147"/>
        <v>44.955099188819467</v>
      </c>
      <c r="S263" s="160">
        <f t="shared" si="148"/>
        <v>1.5485500743022242</v>
      </c>
      <c r="T263" s="160" t="str">
        <f t="shared" si="140"/>
        <v>1+0.0016645916890303i</v>
      </c>
      <c r="U263" s="160">
        <f t="shared" si="149"/>
        <v>1.000001385431786</v>
      </c>
      <c r="V263" s="160">
        <f t="shared" si="150"/>
        <v>1.6645901515796335E-3</v>
      </c>
      <c r="W263" s="98" t="str">
        <f t="shared" si="141"/>
        <v>1-0.0132222885937159i</v>
      </c>
      <c r="X263" s="160">
        <f t="shared" si="151"/>
        <v>1.0000874106375179</v>
      </c>
      <c r="Y263" s="160">
        <f t="shared" si="152"/>
        <v>-1.3221518128408279E-2</v>
      </c>
      <c r="Z263" s="98" t="str">
        <f t="shared" si="142"/>
        <v>0.999839549908401+0.0255045348421537i</v>
      </c>
      <c r="AA263" s="160">
        <f t="shared" si="153"/>
        <v>1.0001647898514265</v>
      </c>
      <c r="AB263" s="160">
        <f t="shared" si="154"/>
        <v>2.5503097125797434E-2</v>
      </c>
      <c r="AC263" s="171" t="str">
        <f t="shared" si="155"/>
        <v>-0.0358316737902003-2.4186312044789i</v>
      </c>
      <c r="AD263" s="190">
        <f t="shared" si="156"/>
        <v>7.6723461190893421</v>
      </c>
      <c r="AE263" s="169">
        <f t="shared" si="157"/>
        <v>-90.848766649216842</v>
      </c>
      <c r="AF263" s="98" t="str">
        <f t="shared" si="143"/>
        <v>-0.0000366300366300366</v>
      </c>
      <c r="AG263" s="98" t="str">
        <f t="shared" si="144"/>
        <v>0.00122188113343713i</v>
      </c>
      <c r="AH263" s="98">
        <f t="shared" si="158"/>
        <v>1.22188113343713E-3</v>
      </c>
      <c r="AI263" s="98">
        <f t="shared" si="159"/>
        <v>1.5707963267948966</v>
      </c>
      <c r="AJ263" s="98" t="str">
        <f t="shared" si="145"/>
        <v>1+0.174517784233828i</v>
      </c>
      <c r="AK263" s="98">
        <f t="shared" si="160"/>
        <v>1.0151140118301416</v>
      </c>
      <c r="AL263" s="98">
        <f t="shared" si="161"/>
        <v>0.17277774143781449</v>
      </c>
      <c r="AM263" s="98" t="str">
        <f t="shared" si="146"/>
        <v>1+12.0417271121341i</v>
      </c>
      <c r="AN263" s="98">
        <f t="shared" si="162"/>
        <v>12.083178052280179</v>
      </c>
      <c r="AO263" s="98">
        <f t="shared" si="163"/>
        <v>1.4879418777447611</v>
      </c>
      <c r="AP263" s="168" t="str">
        <f t="shared" si="164"/>
        <v>-0.345244963678178+0.0902297821992527i</v>
      </c>
      <c r="AQ263" s="98">
        <f t="shared" si="165"/>
        <v>-8.9505050701980444</v>
      </c>
      <c r="AR263" s="169">
        <f t="shared" si="166"/>
        <v>165.35335437735614</v>
      </c>
      <c r="AS263" s="168" t="str">
        <f t="shared" si="167"/>
        <v>0.230603271716673+0.831787158219301i</v>
      </c>
      <c r="AT263" s="190">
        <f t="shared" si="168"/>
        <v>-1.2781589511087057</v>
      </c>
      <c r="AU263" s="169">
        <f t="shared" si="169"/>
        <v>74.504587728139327</v>
      </c>
      <c r="AV263" s="225"/>
      <c r="AX263">
        <f t="shared" si="170"/>
        <v>0</v>
      </c>
      <c r="AY263">
        <f t="shared" si="171"/>
        <v>0</v>
      </c>
    </row>
    <row r="264" spans="14:51" x14ac:dyDescent="0.3">
      <c r="N264" s="170">
        <v>46</v>
      </c>
      <c r="O264" s="199">
        <f t="shared" si="172"/>
        <v>2884.0315031266077</v>
      </c>
      <c r="P264" s="189" t="str">
        <f t="shared" si="138"/>
        <v>108.75</v>
      </c>
      <c r="Q264" s="160" t="str">
        <f t="shared" si="139"/>
        <v>1+45.9908552806242i</v>
      </c>
      <c r="R264" s="160">
        <f t="shared" si="147"/>
        <v>46.001725722447837</v>
      </c>
      <c r="S264" s="160">
        <f t="shared" si="148"/>
        <v>1.549056299434997</v>
      </c>
      <c r="T264" s="160" t="str">
        <f t="shared" si="140"/>
        <v>1+0.00170336501039349i</v>
      </c>
      <c r="U264" s="160">
        <f t="shared" si="149"/>
        <v>1.0000014507251269</v>
      </c>
      <c r="V264" s="160">
        <f t="shared" si="150"/>
        <v>1.7033633629855488E-3</v>
      </c>
      <c r="W264" s="98" t="str">
        <f t="shared" si="141"/>
        <v>1-0.0135302752598632i</v>
      </c>
      <c r="X264" s="160">
        <f t="shared" si="151"/>
        <v>1.0000915299854347</v>
      </c>
      <c r="Y264" s="160">
        <f t="shared" si="152"/>
        <v>-1.3529449695492784E-2</v>
      </c>
      <c r="Z264" s="98" t="str">
        <f t="shared" si="142"/>
        <v>0.999831988128549+0.0260986117753562i</v>
      </c>
      <c r="AA264" s="160">
        <f t="shared" si="153"/>
        <v>1.0001725561230361</v>
      </c>
      <c r="AB264" s="160">
        <f t="shared" si="154"/>
        <v>2.6097071242250199E-2</v>
      </c>
      <c r="AC264" s="171" t="str">
        <f t="shared" si="155"/>
        <v>-0.0382528818275277-2.36354412682207i</v>
      </c>
      <c r="AD264" s="190">
        <f t="shared" si="156"/>
        <v>7.4724117373949328</v>
      </c>
      <c r="AE264" s="169">
        <f t="shared" si="157"/>
        <v>-90.927225060621993</v>
      </c>
      <c r="AF264" s="98" t="str">
        <f t="shared" si="143"/>
        <v>-0.0000366300366300366</v>
      </c>
      <c r="AG264" s="98" t="str">
        <f t="shared" si="144"/>
        <v>0.00125034240124628i</v>
      </c>
      <c r="AH264" s="98">
        <f t="shared" si="158"/>
        <v>1.2503424012462799E-3</v>
      </c>
      <c r="AI264" s="98">
        <f t="shared" si="159"/>
        <v>1.5707963267948966</v>
      </c>
      <c r="AJ264" s="98" t="str">
        <f t="shared" si="145"/>
        <v>1+0.17858282563484i</v>
      </c>
      <c r="AK264" s="98">
        <f t="shared" si="160"/>
        <v>1.0158207645110056</v>
      </c>
      <c r="AL264" s="98">
        <f t="shared" si="161"/>
        <v>0.17671990091563755</v>
      </c>
      <c r="AM264" s="98" t="str">
        <f t="shared" si="146"/>
        <v>1+12.322214968804i</v>
      </c>
      <c r="AN264" s="98">
        <f t="shared" si="162"/>
        <v>12.362725497940062</v>
      </c>
      <c r="AO264" s="98">
        <f t="shared" si="163"/>
        <v>1.4898195462321855</v>
      </c>
      <c r="AP264" s="168" t="str">
        <f t="shared" si="164"/>
        <v>-0.34476472556879+0.0908650633845589i</v>
      </c>
      <c r="AQ264" s="98">
        <f t="shared" si="165"/>
        <v>-8.95788931821407</v>
      </c>
      <c r="AR264" s="169">
        <f t="shared" si="166"/>
        <v>165.2350677567635</v>
      </c>
      <c r="AS264" s="168" t="str">
        <f t="shared" si="167"/>
        <v>0.227951831201372+0.811390791721636i</v>
      </c>
      <c r="AT264" s="190">
        <f t="shared" si="168"/>
        <v>-1.4854775808191369</v>
      </c>
      <c r="AU264" s="169">
        <f t="shared" si="169"/>
        <v>74.307842696141535</v>
      </c>
      <c r="AV264" s="225"/>
      <c r="AX264">
        <f t="shared" si="170"/>
        <v>0</v>
      </c>
      <c r="AY264">
        <f t="shared" si="171"/>
        <v>0</v>
      </c>
    </row>
    <row r="265" spans="14:51" x14ac:dyDescent="0.3">
      <c r="N265" s="170">
        <v>47</v>
      </c>
      <c r="O265" s="199">
        <f t="shared" si="172"/>
        <v>2951.2092266663876</v>
      </c>
      <c r="P265" s="189" t="str">
        <f t="shared" si="138"/>
        <v>108.75</v>
      </c>
      <c r="Q265" s="160" t="str">
        <f t="shared" si="139"/>
        <v>1+47.062119917661i</v>
      </c>
      <c r="R265" s="160">
        <f t="shared" si="147"/>
        <v>47.072742974510255</v>
      </c>
      <c r="S265" s="160">
        <f t="shared" si="148"/>
        <v>1.5495510122455651</v>
      </c>
      <c r="T265" s="160" t="str">
        <f t="shared" si="140"/>
        <v>1+0.0017430414784319i</v>
      </c>
      <c r="U265" s="160">
        <f t="shared" si="149"/>
        <v>1.0000015190956439</v>
      </c>
      <c r="V265" s="160">
        <f t="shared" si="150"/>
        <v>1.7430397132026324E-3</v>
      </c>
      <c r="W265" s="98" t="str">
        <f t="shared" si="141"/>
        <v>1-0.0138454358570477i</v>
      </c>
      <c r="X265" s="160">
        <f t="shared" si="151"/>
        <v>1.0000958434540519</v>
      </c>
      <c r="Y265" s="160">
        <f t="shared" si="152"/>
        <v>-1.3844551253465663E-2</v>
      </c>
      <c r="Z265" s="98" t="str">
        <f t="shared" si="142"/>
        <v>0.999824069972992+0.026706526537978i</v>
      </c>
      <c r="AA265" s="160">
        <f t="shared" si="153"/>
        <v>1.0001806884043911</v>
      </c>
      <c r="AB265" s="160">
        <f t="shared" si="154"/>
        <v>2.6704875835682259E-2</v>
      </c>
      <c r="AC265" s="171" t="str">
        <f t="shared" si="155"/>
        <v>-0.0405650764280874-2.30970549298962i</v>
      </c>
      <c r="AD265" s="190">
        <f t="shared" si="156"/>
        <v>7.2724715391115673</v>
      </c>
      <c r="AE265" s="169">
        <f t="shared" si="157"/>
        <v>-91.006175356686839</v>
      </c>
      <c r="AF265" s="98" t="str">
        <f t="shared" si="143"/>
        <v>-0.0000366300366300366</v>
      </c>
      <c r="AG265" s="98" t="str">
        <f t="shared" si="144"/>
        <v>0.00127946661714681i</v>
      </c>
      <c r="AH265" s="98">
        <f t="shared" si="158"/>
        <v>1.2794666171468099E-3</v>
      </c>
      <c r="AI265" s="98">
        <f t="shared" si="159"/>
        <v>1.5707963267948966</v>
      </c>
      <c r="AJ265" s="98" t="str">
        <f t="shared" si="145"/>
        <v>1+0.182742554013828i</v>
      </c>
      <c r="AK265" s="98">
        <f t="shared" si="160"/>
        <v>1.0165602987759736</v>
      </c>
      <c r="AL265" s="98">
        <f t="shared" si="161"/>
        <v>0.18074814628953842</v>
      </c>
      <c r="AM265" s="98" t="str">
        <f t="shared" si="146"/>
        <v>1+12.6092362269541i</v>
      </c>
      <c r="AN265" s="98">
        <f t="shared" si="162"/>
        <v>12.648827543576191</v>
      </c>
      <c r="AO265" s="98">
        <f t="shared" si="163"/>
        <v>1.4916550268804838</v>
      </c>
      <c r="AP265" s="168" t="str">
        <f t="shared" si="164"/>
        <v>-0.344263284412265+0.0915406978823377i</v>
      </c>
      <c r="AQ265" s="98">
        <f t="shared" si="165"/>
        <v>-8.9654895865548685</v>
      </c>
      <c r="AR265" s="169">
        <f t="shared" si="166"/>
        <v>165.10943159252128</v>
      </c>
      <c r="AS265" s="168" t="str">
        <f t="shared" si="167"/>
        <v>0.225397119174507+0.791433443635779i</v>
      </c>
      <c r="AT265" s="190">
        <f t="shared" si="168"/>
        <v>-1.6930180474432968</v>
      </c>
      <c r="AU265" s="169">
        <f t="shared" si="169"/>
        <v>74.103256235834394</v>
      </c>
      <c r="AV265" s="225"/>
      <c r="AX265">
        <f t="shared" si="170"/>
        <v>0</v>
      </c>
      <c r="AY265">
        <f t="shared" si="171"/>
        <v>0</v>
      </c>
    </row>
    <row r="266" spans="14:51" x14ac:dyDescent="0.3">
      <c r="N266" s="170">
        <v>48</v>
      </c>
      <c r="O266" s="199">
        <f t="shared" si="172"/>
        <v>3019.9517204020176</v>
      </c>
      <c r="P266" s="189" t="str">
        <f t="shared" si="138"/>
        <v>108.75</v>
      </c>
      <c r="Q266" s="160" t="str">
        <f t="shared" si="139"/>
        <v>1+48.158337513619i</v>
      </c>
      <c r="R266" s="160">
        <f t="shared" si="147"/>
        <v>48.16871881289395</v>
      </c>
      <c r="S266" s="160">
        <f t="shared" si="148"/>
        <v>1.5500344740680427</v>
      </c>
      <c r="T266" s="160" t="str">
        <f t="shared" si="140"/>
        <v>1+0.00178364213013404i</v>
      </c>
      <c r="U266" s="160">
        <f t="shared" si="149"/>
        <v>1.000001590688359</v>
      </c>
      <c r="V266" s="160">
        <f t="shared" si="150"/>
        <v>1.7836402386569642E-3</v>
      </c>
      <c r="W266" s="98" t="str">
        <f t="shared" si="141"/>
        <v>1-0.0141679374875896i</v>
      </c>
      <c r="X266" s="160">
        <f t="shared" si="151"/>
        <v>1.0001003601902423</v>
      </c>
      <c r="Y266" s="160">
        <f t="shared" si="152"/>
        <v>-1.4166989622911153E-2</v>
      </c>
      <c r="Z266" s="98" t="str">
        <f t="shared" si="142"/>
        <v>0.999815778646261+0.0273286014544729i</v>
      </c>
      <c r="AA266" s="160">
        <f t="shared" si="153"/>
        <v>1.0001892039446769</v>
      </c>
      <c r="AB266" s="160">
        <f t="shared" si="154"/>
        <v>2.7326832704820982E-2</v>
      </c>
      <c r="AC266" s="171" t="str">
        <f t="shared" si="155"/>
        <v>-0.0427731484665445-2.25708707335871i</v>
      </c>
      <c r="AD266" s="190">
        <f t="shared" si="156"/>
        <v>7.072525650853998</v>
      </c>
      <c r="AE266" s="169">
        <f t="shared" si="157"/>
        <v>-91.085659301279094</v>
      </c>
      <c r="AF266" s="98" t="str">
        <f t="shared" si="143"/>
        <v>-0.0000366300366300366</v>
      </c>
      <c r="AG266" s="98" t="str">
        <f t="shared" si="144"/>
        <v>0.0013092692231835i</v>
      </c>
      <c r="AH266" s="98">
        <f t="shared" si="158"/>
        <v>1.3092692231835E-3</v>
      </c>
      <c r="AI266" s="98">
        <f t="shared" si="159"/>
        <v>1.5707963267948966</v>
      </c>
      <c r="AJ266" s="98" t="str">
        <f t="shared" si="145"/>
        <v>1+0.186999174913837i</v>
      </c>
      <c r="AK266" s="98">
        <f t="shared" si="160"/>
        <v>1.0173341100240647</v>
      </c>
      <c r="AL266" s="98">
        <f t="shared" si="161"/>
        <v>0.18486409020758202</v>
      </c>
      <c r="AM266" s="98" t="str">
        <f t="shared" si="146"/>
        <v>1+12.9029430690547i</v>
      </c>
      <c r="AN266" s="98">
        <f t="shared" si="162"/>
        <v>12.941635902901409</v>
      </c>
      <c r="AO266" s="98">
        <f t="shared" si="163"/>
        <v>1.4934492433884894</v>
      </c>
      <c r="AP266" s="168" t="str">
        <f t="shared" si="164"/>
        <v>-0.343739772056408+0.0922565208698366i</v>
      </c>
      <c r="AQ266" s="98">
        <f t="shared" si="165"/>
        <v>-8.9733206990119569</v>
      </c>
      <c r="AR266" s="169">
        <f t="shared" si="166"/>
        <v>164.97640641074628</v>
      </c>
      <c r="AS266" s="168" t="str">
        <f t="shared" si="167"/>
        <v>0.222933832992381+0.771904494243616i</v>
      </c>
      <c r="AT266" s="190">
        <f t="shared" si="168"/>
        <v>-1.9007950481579581</v>
      </c>
      <c r="AU266" s="169">
        <f t="shared" si="169"/>
        <v>73.890747109467199</v>
      </c>
      <c r="AV266" s="225"/>
      <c r="AX266">
        <f t="shared" si="170"/>
        <v>0</v>
      </c>
      <c r="AY266">
        <f t="shared" si="171"/>
        <v>0</v>
      </c>
    </row>
    <row r="267" spans="14:51" x14ac:dyDescent="0.3">
      <c r="N267" s="170">
        <v>49</v>
      </c>
      <c r="O267" s="199">
        <f t="shared" si="172"/>
        <v>3090.295432513592</v>
      </c>
      <c r="P267" s="189" t="str">
        <f t="shared" si="138"/>
        <v>108.75</v>
      </c>
      <c r="Q267" s="160" t="str">
        <f t="shared" si="139"/>
        <v>1+49.2800892975777i</v>
      </c>
      <c r="R267" s="160">
        <f t="shared" si="147"/>
        <v>49.29023433883463</v>
      </c>
      <c r="S267" s="160">
        <f t="shared" si="148"/>
        <v>1.5505069403357521</v>
      </c>
      <c r="T267" s="160" t="str">
        <f t="shared" si="140"/>
        <v>1+0.00182518849250288i</v>
      </c>
      <c r="U267" s="160">
        <f t="shared" si="149"/>
        <v>1.0000016656551294</v>
      </c>
      <c r="V267" s="160">
        <f t="shared" si="150"/>
        <v>1.82518646574886E-3</v>
      </c>
      <c r="W267" s="98" t="str">
        <f t="shared" si="141"/>
        <v>1-0.0144979511461222i</v>
      </c>
      <c r="X267" s="160">
        <f t="shared" si="151"/>
        <v>1.0001050897717876</v>
      </c>
      <c r="Y267" s="160">
        <f t="shared" si="152"/>
        <v>-1.4496935496584436E-2</v>
      </c>
      <c r="Z267" s="98" t="str">
        <f t="shared" si="142"/>
        <v>0.999807096561339+0.0279651663571957i</v>
      </c>
      <c r="AA267" s="160">
        <f t="shared" si="153"/>
        <v>1.0001981208059734</v>
      </c>
      <c r="AB267" s="160">
        <f t="shared" si="154"/>
        <v>2.7963271118709224E-2</v>
      </c>
      <c r="AC267" s="171" t="str">
        <f t="shared" si="155"/>
        <v>-0.0448817691563279-2.20566126422114i</v>
      </c>
      <c r="AD267" s="190">
        <f t="shared" si="156"/>
        <v>6.8725741871953403</v>
      </c>
      <c r="AE267" s="169">
        <f t="shared" si="157"/>
        <v>-91.165718941979108</v>
      </c>
      <c r="AF267" s="98" t="str">
        <f t="shared" si="143"/>
        <v>-0.0000366300366300366</v>
      </c>
      <c r="AG267" s="98" t="str">
        <f t="shared" si="144"/>
        <v>0.00133976602109254i</v>
      </c>
      <c r="AH267" s="98">
        <f t="shared" si="158"/>
        <v>1.3397660210925401E-3</v>
      </c>
      <c r="AI267" s="98">
        <f t="shared" si="159"/>
        <v>1.5707963267948966</v>
      </c>
      <c r="AJ267" s="98" t="str">
        <f t="shared" si="145"/>
        <v>1+0.191354945251613i</v>
      </c>
      <c r="AK267" s="98">
        <f t="shared" si="160"/>
        <v>1.0181437595311615</v>
      </c>
      <c r="AL267" s="98">
        <f t="shared" si="161"/>
        <v>0.18906935689907414</v>
      </c>
      <c r="AM267" s="98" t="str">
        <f t="shared" si="146"/>
        <v>1+13.2034912223612i</v>
      </c>
      <c r="AN267" s="98">
        <f t="shared" si="162"/>
        <v>13.241305844174478</v>
      </c>
      <c r="AO267" s="98">
        <f t="shared" si="163"/>
        <v>1.4952031008400231</v>
      </c>
      <c r="AP267" s="168" t="str">
        <f t="shared" si="164"/>
        <v>-0.343193291118121+0.0930123556408003i</v>
      </c>
      <c r="AQ267" s="98">
        <f t="shared" si="165"/>
        <v>-8.9813978587922261</v>
      </c>
      <c r="AR267" s="169">
        <f t="shared" si="166"/>
        <v>164.83595100743742</v>
      </c>
      <c r="AS267" s="168" t="str">
        <f t="shared" si="167"/>
        <v>0.220556871998838+0.752793589285252i</v>
      </c>
      <c r="AT267" s="190">
        <f t="shared" si="168"/>
        <v>-2.1088236715968862</v>
      </c>
      <c r="AU267" s="169">
        <f t="shared" si="169"/>
        <v>73.670232065458279</v>
      </c>
      <c r="AV267" s="225"/>
      <c r="AX267">
        <f t="shared" si="170"/>
        <v>0</v>
      </c>
      <c r="AY267">
        <f t="shared" si="171"/>
        <v>0</v>
      </c>
    </row>
    <row r="268" spans="14:51" x14ac:dyDescent="0.3">
      <c r="N268" s="170">
        <v>50</v>
      </c>
      <c r="O268" s="199">
        <f t="shared" si="172"/>
        <v>3162.2776601683804</v>
      </c>
      <c r="P268" s="189" t="str">
        <f t="shared" si="138"/>
        <v>108.75</v>
      </c>
      <c r="Q268" s="160" t="str">
        <f t="shared" si="139"/>
        <v>1+50.427970037181i</v>
      </c>
      <c r="R268" s="160">
        <f t="shared" si="147"/>
        <v>50.43788419502571</v>
      </c>
      <c r="S268" s="160">
        <f t="shared" si="148"/>
        <v>1.5509686607123505</v>
      </c>
      <c r="T268" s="160" t="str">
        <f t="shared" si="140"/>
        <v>1+0.00186770259396967i</v>
      </c>
      <c r="U268" s="160">
        <f t="shared" si="149"/>
        <v>1.0000017441549687</v>
      </c>
      <c r="V268" s="160">
        <f t="shared" si="150"/>
        <v>1.8677004222638152E-3</v>
      </c>
      <c r="W268" s="98" t="str">
        <f t="shared" si="141"/>
        <v>1-0.0148356518102556i</v>
      </c>
      <c r="X268" s="160">
        <f t="shared" si="151"/>
        <v>1.0001100422276716</v>
      </c>
      <c r="Y268" s="160">
        <f t="shared" si="152"/>
        <v>-1.4834563528635693E-2</v>
      </c>
      <c r="Z268" s="98" t="str">
        <f t="shared" si="142"/>
        <v>0.999798005302361+0.0286165587612838i</v>
      </c>
      <c r="AA268" s="160">
        <f t="shared" si="153"/>
        <v>1.0002074579015685</v>
      </c>
      <c r="AB268" s="160">
        <f t="shared" si="154"/>
        <v>2.8614527988900438E-2</v>
      </c>
      <c r="AC268" s="171" t="str">
        <f t="shared" si="155"/>
        <v>-0.0468953998528395-2.15540107455148i</v>
      </c>
      <c r="AD268" s="190">
        <f t="shared" si="156"/>
        <v>6.6726172509083215</v>
      </c>
      <c r="AE268" s="169">
        <f t="shared" si="157"/>
        <v>-91.246396631917378</v>
      </c>
      <c r="AF268" s="98" t="str">
        <f t="shared" si="143"/>
        <v>-0.0000366300366300366</v>
      </c>
      <c r="AG268" s="98" t="str">
        <f t="shared" si="144"/>
        <v>0.00137097318067986i</v>
      </c>
      <c r="AH268" s="98">
        <f t="shared" si="158"/>
        <v>1.3709731806798599E-3</v>
      </c>
      <c r="AI268" s="98">
        <f t="shared" si="159"/>
        <v>1.5707963267948966</v>
      </c>
      <c r="AJ268" s="98" t="str">
        <f t="shared" si="145"/>
        <v>1+0.195812174514242i</v>
      </c>
      <c r="AK268" s="98">
        <f t="shared" si="160"/>
        <v>1.0189908771367857</v>
      </c>
      <c r="AL268" s="98">
        <f t="shared" si="161"/>
        <v>0.19336558082642871</v>
      </c>
      <c r="AM268" s="98" t="str">
        <f t="shared" si="146"/>
        <v>1+13.5110400414827i</v>
      </c>
      <c r="AN268" s="98">
        <f t="shared" si="162"/>
        <v>13.547996272606103</v>
      </c>
      <c r="AO268" s="98">
        <f t="shared" si="163"/>
        <v>1.4969174859702421</v>
      </c>
      <c r="AP268" s="168" t="str">
        <f t="shared" si="164"/>
        <v>-0.342622914598902+0.0938080116119347i</v>
      </c>
      <c r="AQ268" s="98">
        <f t="shared" si="165"/>
        <v>-8.9897366700651418</v>
      </c>
      <c r="AR268" s="169">
        <f t="shared" si="166"/>
        <v>164.68802254097838</v>
      </c>
      <c r="AS268" s="168" t="str">
        <f t="shared" si="167"/>
        <v>0.218261327608763+0.734090634078492i</v>
      </c>
      <c r="AT268" s="190">
        <f t="shared" si="168"/>
        <v>-2.3171194191568159</v>
      </c>
      <c r="AU268" s="169">
        <f t="shared" si="169"/>
        <v>73.441625909060974</v>
      </c>
      <c r="AV268" s="225"/>
      <c r="AX268">
        <f t="shared" si="170"/>
        <v>0</v>
      </c>
      <c r="AY268">
        <f t="shared" si="171"/>
        <v>0</v>
      </c>
    </row>
    <row r="269" spans="14:51" x14ac:dyDescent="0.3">
      <c r="N269" s="170">
        <v>51</v>
      </c>
      <c r="O269" s="199">
        <f t="shared" si="172"/>
        <v>3235.9365692962833</v>
      </c>
      <c r="P269" s="189" t="str">
        <f t="shared" si="138"/>
        <v>108.75</v>
      </c>
      <c r="Q269" s="160" t="str">
        <f t="shared" si="139"/>
        <v>1+51.6025883539911i</v>
      </c>
      <c r="R269" s="160">
        <f t="shared" si="147"/>
        <v>51.612276880907487</v>
      </c>
      <c r="S269" s="160">
        <f t="shared" si="148"/>
        <v>1.5514198792201843</v>
      </c>
      <c r="T269" s="160" t="str">
        <f t="shared" si="140"/>
        <v>1+0.00191120697607375i</v>
      </c>
      <c r="U269" s="160">
        <f t="shared" si="149"/>
        <v>1.0000018263543848</v>
      </c>
      <c r="V269" s="160">
        <f t="shared" si="150"/>
        <v>1.9112046490492307E-3</v>
      </c>
      <c r="W269" s="98" t="str">
        <f t="shared" si="141"/>
        <v>1-0.0151812185333518i</v>
      </c>
      <c r="X269" s="160">
        <f t="shared" si="151"/>
        <v>1.000115228059326</v>
      </c>
      <c r="Y269" s="160">
        <f t="shared" si="152"/>
        <v>-1.5180052425842704E-2</v>
      </c>
      <c r="Z269" s="98" t="str">
        <f t="shared" si="142"/>
        <v>0.999788485585547+0.0292831240436121i</v>
      </c>
      <c r="AA269" s="160">
        <f t="shared" si="153"/>
        <v>1.000217235036067</v>
      </c>
      <c r="AB269" s="160">
        <f t="shared" si="154"/>
        <v>2.9280948045535372E-2</v>
      </c>
      <c r="AC269" s="171" t="str">
        <f t="shared" si="155"/>
        <v>-0.0488183014207648-2.10628011300691i</v>
      </c>
      <c r="AD269" s="190">
        <f t="shared" si="156"/>
        <v>6.4726549331820422</v>
      </c>
      <c r="AE269" s="169">
        <f t="shared" si="157"/>
        <v>-91.327735051775306</v>
      </c>
      <c r="AF269" s="98" t="str">
        <f t="shared" si="143"/>
        <v>-0.0000366300366300366</v>
      </c>
      <c r="AG269" s="98" t="str">
        <f t="shared" si="144"/>
        <v>0.00140290724839456i</v>
      </c>
      <c r="AH269" s="98">
        <f t="shared" si="158"/>
        <v>1.40290724839456E-3</v>
      </c>
      <c r="AI269" s="98">
        <f t="shared" si="159"/>
        <v>1.5707963267948966</v>
      </c>
      <c r="AJ269" s="98" t="str">
        <f t="shared" si="145"/>
        <v>1+0.20037322598368i</v>
      </c>
      <c r="AK269" s="98">
        <f t="shared" si="160"/>
        <v>1.0198771640207986</v>
      </c>
      <c r="AL269" s="98">
        <f t="shared" si="161"/>
        <v>0.19775440521678159</v>
      </c>
      <c r="AM269" s="98" t="str">
        <f t="shared" si="146"/>
        <v>1+13.8257525928739i</v>
      </c>
      <c r="AN269" s="98">
        <f t="shared" si="162"/>
        <v>13.861869814688037</v>
      </c>
      <c r="AO269" s="98">
        <f t="shared" si="163"/>
        <v>1.4985932674360496</v>
      </c>
      <c r="AP269" s="168" t="str">
        <f t="shared" si="164"/>
        <v>-0.342027685559902+0.0946432822373864i</v>
      </c>
      <c r="AQ269" s="98">
        <f t="shared" si="165"/>
        <v>-8.9983531595060953</v>
      </c>
      <c r="AR269" s="169">
        <f t="shared" si="166"/>
        <v>164.53257663176407</v>
      </c>
      <c r="AS269" s="168" t="str">
        <f t="shared" si="167"/>
        <v>0.216042473854217+0.715785787912887i</v>
      </c>
      <c r="AT269" s="190">
        <f t="shared" si="168"/>
        <v>-2.5256982263240508</v>
      </c>
      <c r="AU269" s="169">
        <f t="shared" si="169"/>
        <v>73.204841579988752</v>
      </c>
      <c r="AV269" s="225"/>
      <c r="AX269">
        <f t="shared" si="170"/>
        <v>0</v>
      </c>
      <c r="AY269">
        <f t="shared" si="171"/>
        <v>0</v>
      </c>
    </row>
    <row r="270" spans="14:51" x14ac:dyDescent="0.3">
      <c r="N270" s="170">
        <v>52</v>
      </c>
      <c r="O270" s="199">
        <f t="shared" si="172"/>
        <v>3311.3112148259115</v>
      </c>
      <c r="P270" s="189" t="str">
        <f t="shared" si="138"/>
        <v>108.75</v>
      </c>
      <c r="Q270" s="160" t="str">
        <f t="shared" si="139"/>
        <v>1+52.8045670461877i</v>
      </c>
      <c r="R270" s="160">
        <f t="shared" si="147"/>
        <v>52.814035075302968</v>
      </c>
      <c r="S270" s="160">
        <f t="shared" si="148"/>
        <v>1.5518608343659195</v>
      </c>
      <c r="T270" s="160" t="str">
        <f t="shared" si="140"/>
        <v>1+0.00195572470541437i</v>
      </c>
      <c r="U270" s="160">
        <f t="shared" si="149"/>
        <v>1.0000019124277331</v>
      </c>
      <c r="V270" s="160">
        <f t="shared" si="150"/>
        <v>1.9557222119629316E-3</v>
      </c>
      <c r="W270" s="98" t="str">
        <f t="shared" si="141"/>
        <v>1-0.0155348345394616i</v>
      </c>
      <c r="X270" s="160">
        <f t="shared" si="151"/>
        <v>1.0001206582628761</v>
      </c>
      <c r="Y270" s="160">
        <f t="shared" si="152"/>
        <v>-1.5533585040895054E-2</v>
      </c>
      <c r="Z270" s="98" t="str">
        <f t="shared" si="142"/>
        <v>0.999778517218302+0.0299652156259164i</v>
      </c>
      <c r="AA270" s="160">
        <f t="shared" si="153"/>
        <v>1.0002274729473961</v>
      </c>
      <c r="AB270" s="160">
        <f t="shared" si="154"/>
        <v>2.996288401738147E-2</v>
      </c>
      <c r="AC270" s="171" t="str">
        <f>(IMDIV(IMPRODUCT(P270,T270,W270),IMPRODUCT(Q270,Z270)))</f>
        <v>-0.0506545431845405-2.05827257515783i</v>
      </c>
      <c r="AD270" s="190">
        <f t="shared" si="156"/>
        <v>6.2726873138137602</v>
      </c>
      <c r="AE270" s="169">
        <f t="shared" si="157"/>
        <v>-91.409777231959012</v>
      </c>
      <c r="AF270" s="98" t="str">
        <f t="shared" si="143"/>
        <v>-0.0000366300366300366</v>
      </c>
      <c r="AG270" s="98" t="str">
        <f t="shared" si="144"/>
        <v>0.00143558515610203i</v>
      </c>
      <c r="AH270" s="98">
        <f t="shared" si="158"/>
        <v>1.43558515610203E-3</v>
      </c>
      <c r="AI270" s="98">
        <f t="shared" si="159"/>
        <v>1.5707963267948966</v>
      </c>
      <c r="AJ270" s="98" t="str">
        <f t="shared" si="145"/>
        <v>1+0.205040517989788i</v>
      </c>
      <c r="AK270" s="98">
        <f t="shared" si="160"/>
        <v>1.0208043955712185</v>
      </c>
      <c r="AL270" s="98">
        <f t="shared" si="161"/>
        <v>0.20223748046703005</v>
      </c>
      <c r="AM270" s="98" t="str">
        <f t="shared" si="146"/>
        <v>1+14.1477957412954i</v>
      </c>
      <c r="AN270" s="98">
        <f t="shared" si="162"/>
        <v>14.183092904490765</v>
      </c>
      <c r="AO270" s="98">
        <f t="shared" si="163"/>
        <v>1.5002312960898421</v>
      </c>
      <c r="AP270" s="168" t="str">
        <f t="shared" si="164"/>
        <v>-0.341406616864459+0.0955179428292717i</v>
      </c>
      <c r="AQ270" s="98">
        <f t="shared" si="165"/>
        <v>-9.0072637978078358</v>
      </c>
      <c r="AR270" s="169">
        <f t="shared" si="166"/>
        <v>164.36956746926907</v>
      </c>
      <c r="AS270" s="168" t="str">
        <f t="shared" si="167"/>
        <v>0.213895758378432+0.697869458709589i</v>
      </c>
      <c r="AT270" s="190">
        <f t="shared" si="168"/>
        <v>-2.7345764839940716</v>
      </c>
      <c r="AU270" s="169">
        <f t="shared" si="169"/>
        <v>72.959790237310074</v>
      </c>
      <c r="AV270" s="225"/>
      <c r="AX270">
        <f t="shared" si="170"/>
        <v>0</v>
      </c>
      <c r="AY270">
        <f t="shared" si="171"/>
        <v>0</v>
      </c>
    </row>
    <row r="271" spans="14:51" x14ac:dyDescent="0.3">
      <c r="N271" s="170">
        <v>53</v>
      </c>
      <c r="O271" s="199">
        <f t="shared" si="172"/>
        <v>3388.4415613920314</v>
      </c>
      <c r="P271" s="189" t="str">
        <f t="shared" si="138"/>
        <v>108.75</v>
      </c>
      <c r="Q271" s="160" t="str">
        <f t="shared" si="139"/>
        <v>1+54.0345434187832i</v>
      </c>
      <c r="R271" s="160">
        <f t="shared" si="147"/>
        <v>54.043795966571103</v>
      </c>
      <c r="S271" s="160">
        <f t="shared" si="148"/>
        <v>1.5522917592634979</v>
      </c>
      <c r="T271" s="160" t="str">
        <f t="shared" si="140"/>
        <v>1+0.00200127938588086i</v>
      </c>
      <c r="U271" s="160">
        <f t="shared" si="149"/>
        <v>1.0000020025575851</v>
      </c>
      <c r="V271" s="160">
        <f t="shared" si="150"/>
        <v>2.001276714099796E-3</v>
      </c>
      <c r="W271" s="98" t="str">
        <f t="shared" si="141"/>
        <v>1-0.0158966873204721i</v>
      </c>
      <c r="X271" s="160">
        <f t="shared" si="151"/>
        <v>1.0001263443524349</v>
      </c>
      <c r="Y271" s="160">
        <f t="shared" si="152"/>
        <v>-1.5895348467770874E-2</v>
      </c>
      <c r="Z271" s="98" t="str">
        <f t="shared" si="142"/>
        <v>0.999768079056382+0.0306631951621821i</v>
      </c>
      <c r="AA271" s="160">
        <f t="shared" si="153"/>
        <v>1.0002381933507849</v>
      </c>
      <c r="AB271" s="160">
        <f t="shared" si="154"/>
        <v>3.0660696815917442E-2</v>
      </c>
      <c r="AC271" s="171" t="str">
        <f t="shared" si="155"/>
        <v>-0.0524080114802304-2.01135323094855i</v>
      </c>
      <c r="AD271" s="190">
        <f t="shared" si="156"/>
        <v>6.0727144613772763</v>
      </c>
      <c r="AE271" s="169">
        <f t="shared" si="157"/>
        <v>-91.492566574955603</v>
      </c>
      <c r="AF271" s="98" t="str">
        <f t="shared" si="143"/>
        <v>-0.0000366300366300366</v>
      </c>
      <c r="AG271" s="98" t="str">
        <f t="shared" si="144"/>
        <v>0.00146902423006148i</v>
      </c>
      <c r="AH271" s="98">
        <f t="shared" si="158"/>
        <v>1.46902423006148E-3</v>
      </c>
      <c r="AI271" s="98">
        <f t="shared" si="159"/>
        <v>1.5707963267948966</v>
      </c>
      <c r="AJ271" s="98" t="str">
        <f t="shared" si="145"/>
        <v>1+0.209816525192566i</v>
      </c>
      <c r="AK271" s="98">
        <f t="shared" si="160"/>
        <v>1.0217744243441811</v>
      </c>
      <c r="AL271" s="98">
        <f t="shared" si="161"/>
        <v>0.20681646241593185</v>
      </c>
      <c r="AM271" s="98" t="str">
        <f t="shared" si="146"/>
        <v>1+14.477340238287i</v>
      </c>
      <c r="AN271" s="98">
        <f t="shared" si="162"/>
        <v>14.51183587197443</v>
      </c>
      <c r="AO271" s="98">
        <f t="shared" si="163"/>
        <v>1.5018324052559109</v>
      </c>
      <c r="AP271" s="168" t="str">
        <f t="shared" si="164"/>
        <v>-0.340758690996579+0.0964317482826571i</v>
      </c>
      <c r="AQ271" s="98">
        <f t="shared" si="165"/>
        <v>-9.0164855211276507</v>
      </c>
      <c r="AR271" s="169">
        <f t="shared" si="166"/>
        <v>164.19894792688586</v>
      </c>
      <c r="AS271" s="168" t="str">
        <f t="shared" si="167"/>
        <v>0.211816793864077+0.680332297938712i</v>
      </c>
      <c r="AT271" s="190">
        <f t="shared" si="168"/>
        <v>-2.9437710597503659</v>
      </c>
      <c r="AU271" s="169">
        <f t="shared" si="169"/>
        <v>72.706381351930247</v>
      </c>
      <c r="AV271" s="225"/>
      <c r="AX271">
        <f t="shared" si="170"/>
        <v>0</v>
      </c>
      <c r="AY271">
        <f t="shared" si="171"/>
        <v>0</v>
      </c>
    </row>
    <row r="272" spans="14:51" x14ac:dyDescent="0.3">
      <c r="N272" s="170">
        <v>54</v>
      </c>
      <c r="O272" s="199">
        <f t="shared" si="172"/>
        <v>3467.3685045253224</v>
      </c>
      <c r="P272" s="189" t="str">
        <f t="shared" si="138"/>
        <v>108.75</v>
      </c>
      <c r="Q272" s="160" t="str">
        <f t="shared" si="139"/>
        <v>1+55.293169621531i</v>
      </c>
      <c r="R272" s="160">
        <f t="shared" si="147"/>
        <v>55.30221159045449</v>
      </c>
      <c r="S272" s="160">
        <f t="shared" si="148"/>
        <v>1.552712881754468</v>
      </c>
      <c r="T272" s="160" t="str">
        <f t="shared" si="140"/>
        <v>1+0.00204789517116782i</v>
      </c>
      <c r="U272" s="160">
        <f t="shared" si="149"/>
        <v>1.0000020969351175</v>
      </c>
      <c r="V272" s="160">
        <f t="shared" si="150"/>
        <v>2.0478923083031546E-3</v>
      </c>
      <c r="W272" s="98" t="str">
        <f t="shared" si="141"/>
        <v>1-0.0162669687355174i</v>
      </c>
      <c r="X272" s="160">
        <f t="shared" si="151"/>
        <v>1.0001322983844898</v>
      </c>
      <c r="Y272" s="160">
        <f t="shared" si="152"/>
        <v>-1.626553413925029E-2</v>
      </c>
      <c r="Z272" s="98" t="str">
        <f t="shared" si="142"/>
        <v>0.999757148959047+0.031377432730398i</v>
      </c>
      <c r="AA272" s="160">
        <f t="shared" si="153"/>
        <v>1.0002494189848212</v>
      </c>
      <c r="AB272" s="160">
        <f t="shared" si="154"/>
        <v>3.1374755723546706E-2</v>
      </c>
      <c r="AC272" s="171" t="str">
        <f t="shared" si="155"/>
        <v>-0.054082417826272-1.96549741238661i</v>
      </c>
      <c r="AD272" s="190">
        <f t="shared" si="156"/>
        <v>5.8727364333674439</v>
      </c>
      <c r="AE272" s="169">
        <f t="shared" si="157"/>
        <v>-91.576146877881726</v>
      </c>
      <c r="AF272" s="98" t="str">
        <f t="shared" si="143"/>
        <v>-0.0000366300366300366</v>
      </c>
      <c r="AG272" s="98" t="str">
        <f t="shared" si="144"/>
        <v>0.00150324220011254i</v>
      </c>
      <c r="AH272" s="98">
        <f t="shared" si="158"/>
        <v>1.5032422001125399E-3</v>
      </c>
      <c r="AI272" s="98">
        <f t="shared" si="159"/>
        <v>1.5707963267948966</v>
      </c>
      <c r="AJ272" s="98" t="str">
        <f t="shared" si="145"/>
        <v>1+0.214703779894252i</v>
      </c>
      <c r="AK272" s="98">
        <f t="shared" si="160"/>
        <v>1.0227891831168725</v>
      </c>
      <c r="AL272" s="98">
        <f t="shared" si="161"/>
        <v>0.21149301047677121</v>
      </c>
      <c r="AM272" s="98" t="str">
        <f t="shared" si="146"/>
        <v>1+14.8145608127033i</v>
      </c>
      <c r="AN272" s="98">
        <f t="shared" si="162"/>
        <v>14.848273033362643</v>
      </c>
      <c r="AO272" s="98">
        <f t="shared" si="163"/>
        <v>1.5033974110088928</v>
      </c>
      <c r="AP272" s="168" t="str">
        <f t="shared" si="164"/>
        <v>-0.34008285996453+0.0973844307038256i</v>
      </c>
      <c r="AQ272" s="98">
        <f t="shared" si="165"/>
        <v>-9.0260357524303227</v>
      </c>
      <c r="AR272" s="169">
        <f t="shared" si="166"/>
        <v>164.02066968486923</v>
      </c>
      <c r="AS272" s="168" t="str">
        <f t="shared" si="167"/>
        <v>0.209801349883268+0.663165195786224i</v>
      </c>
      <c r="AT272" s="190">
        <f t="shared" si="168"/>
        <v>-3.1532993190628718</v>
      </c>
      <c r="AU272" s="169">
        <f t="shared" si="169"/>
        <v>72.444522806987493</v>
      </c>
      <c r="AV272" s="225"/>
      <c r="AX272">
        <f t="shared" si="170"/>
        <v>0</v>
      </c>
      <c r="AY272">
        <f t="shared" si="171"/>
        <v>0</v>
      </c>
    </row>
    <row r="273" spans="14:51" x14ac:dyDescent="0.3">
      <c r="N273" s="170">
        <v>55</v>
      </c>
      <c r="O273" s="199">
        <f t="shared" si="172"/>
        <v>3548.1338923357539</v>
      </c>
      <c r="P273" s="189" t="str">
        <f t="shared" si="138"/>
        <v>108.75</v>
      </c>
      <c r="Q273" s="160" t="str">
        <f t="shared" si="139"/>
        <v>1+56.5811129947034i</v>
      </c>
      <c r="R273" s="160">
        <f t="shared" si="147"/>
        <v>56.589949175797933</v>
      </c>
      <c r="S273" s="160">
        <f t="shared" si="148"/>
        <v>1.5531244245257367</v>
      </c>
      <c r="T273" s="160" t="str">
        <f t="shared" si="140"/>
        <v>1+0.00209559677758162i</v>
      </c>
      <c r="U273" s="160">
        <f t="shared" si="149"/>
        <v>1.0000021957605165</v>
      </c>
      <c r="V273" s="160">
        <f t="shared" si="150"/>
        <v>2.0955937099672267E-3</v>
      </c>
      <c r="W273" s="98" t="str">
        <f t="shared" si="141"/>
        <v>1-0.016645875112705i</v>
      </c>
      <c r="X273" s="160">
        <f t="shared" si="151"/>
        <v>1.0001385329834402</v>
      </c>
      <c r="Y273" s="160">
        <f t="shared" si="152"/>
        <v>-1.6644337926609076E-2</v>
      </c>
      <c r="Z273" s="98" t="str">
        <f t="shared" si="142"/>
        <v>0.999745703742094+0.0321083070287769i</v>
      </c>
      <c r="AA273" s="160">
        <f t="shared" si="153"/>
        <v>1.0002611736596743</v>
      </c>
      <c r="AB273" s="160">
        <f t="shared" si="154"/>
        <v>3.2105438586025006E-2</v>
      </c>
      <c r="AC273" s="171" t="str">
        <f t="shared" si="155"/>
        <v>-0.0556813067298137-1.92068100145926i</v>
      </c>
      <c r="AD273" s="190">
        <f t="shared" si="156"/>
        <v>5.6727532763211173</v>
      </c>
      <c r="AE273" s="169">
        <f t="shared" si="157"/>
        <v>-91.660562355234106</v>
      </c>
      <c r="AF273" s="98" t="str">
        <f t="shared" si="143"/>
        <v>-0.0000366300366300366</v>
      </c>
      <c r="AG273" s="98" t="str">
        <f t="shared" si="144"/>
        <v>0.00153825720907586i</v>
      </c>
      <c r="AH273" s="98">
        <f t="shared" si="158"/>
        <v>1.53825720907586E-3</v>
      </c>
      <c r="AI273" s="98">
        <f t="shared" si="159"/>
        <v>1.5707963267948966</v>
      </c>
      <c r="AJ273" s="98" t="str">
        <f t="shared" si="145"/>
        <v>1+0.219704873381976i</v>
      </c>
      <c r="AK273" s="98">
        <f t="shared" si="160"/>
        <v>1.0238506880340463</v>
      </c>
      <c r="AL273" s="98">
        <f t="shared" si="161"/>
        <v>0.2162687856240525</v>
      </c>
      <c r="AM273" s="98" t="str">
        <f t="shared" si="146"/>
        <v>1+15.1596362633563i</v>
      </c>
      <c r="AN273" s="98">
        <f t="shared" si="162"/>
        <v>15.192582783623966</v>
      </c>
      <c r="AO273" s="98">
        <f t="shared" si="163"/>
        <v>1.5049271124536761</v>
      </c>
      <c r="AP273" s="168" t="str">
        <f t="shared" si="164"/>
        <v>-0.339378045299174+0.0983756969411402i</v>
      </c>
      <c r="AQ273" s="98">
        <f t="shared" si="165"/>
        <v>-9.0359324226847946</v>
      </c>
      <c r="AR273" s="169">
        <f t="shared" si="166"/>
        <v>163.83468336172766</v>
      </c>
      <c r="AS273" s="168" t="str">
        <f t="shared" si="167"/>
        <v>0.20784534515783+0.646359276562365i</v>
      </c>
      <c r="AT273" s="190">
        <f t="shared" si="168"/>
        <v>-3.363179146363672</v>
      </c>
      <c r="AU273" s="169">
        <f t="shared" si="169"/>
        <v>72.174121006493522</v>
      </c>
      <c r="AV273" s="225"/>
      <c r="AX273">
        <f t="shared" si="170"/>
        <v>0</v>
      </c>
      <c r="AY273">
        <f t="shared" si="171"/>
        <v>0</v>
      </c>
    </row>
    <row r="274" spans="14:51" x14ac:dyDescent="0.3">
      <c r="N274" s="170">
        <v>56</v>
      </c>
      <c r="O274" s="199">
        <f t="shared" si="172"/>
        <v>3630.7805477010188</v>
      </c>
      <c r="P274" s="189" t="str">
        <f t="shared" si="138"/>
        <v>108.75</v>
      </c>
      <c r="Q274" s="160" t="str">
        <f t="shared" si="139"/>
        <v>1+57.8990564229257i</v>
      </c>
      <c r="R274" s="160">
        <f t="shared" si="147"/>
        <v>57.907691498324596</v>
      </c>
      <c r="S274" s="160">
        <f t="shared" si="148"/>
        <v>1.5535266052247938</v>
      </c>
      <c r="T274" s="160" t="str">
        <f t="shared" si="140"/>
        <v>1+0.0021444094971454i</v>
      </c>
      <c r="U274" s="160">
        <f t="shared" si="149"/>
        <v>1.0000022992434026</v>
      </c>
      <c r="V274" s="160">
        <f t="shared" si="150"/>
        <v>2.1444062101377646E-3</v>
      </c>
      <c r="W274" s="98" t="str">
        <f t="shared" si="141"/>
        <v>1-0.0170336073532117i</v>
      </c>
      <c r="X274" s="160">
        <f t="shared" si="151"/>
        <v>1.0001450613683314</v>
      </c>
      <c r="Y274" s="160">
        <f t="shared" si="152"/>
        <v>-1.7031960241536599E-2</v>
      </c>
      <c r="Z274" s="98" t="str">
        <f t="shared" si="142"/>
        <v>0.999733719128684+0.0328562055765464i</v>
      </c>
      <c r="AA274" s="160">
        <f t="shared" si="153"/>
        <v>1.0002734823075929</v>
      </c>
      <c r="AB274" s="160">
        <f t="shared" si="154"/>
        <v>3.2853132009187117E-2</v>
      </c>
      <c r="AC274" s="171" t="str">
        <f t="shared" si="155"/>
        <v>-0.0572080631446369-1.87688041827555i</v>
      </c>
      <c r="AD274" s="190">
        <f t="shared" si="156"/>
        <v>5.4727650259154617</v>
      </c>
      <c r="AE274" s="169">
        <f t="shared" si="157"/>
        <v>-91.745857661851758</v>
      </c>
      <c r="AF274" s="98" t="str">
        <f t="shared" si="143"/>
        <v>-0.0000366300366300366</v>
      </c>
      <c r="AG274" s="98" t="str">
        <f t="shared" si="144"/>
        <v>0.00157408782237269i</v>
      </c>
      <c r="AH274" s="98">
        <f t="shared" si="158"/>
        <v>1.57408782237269E-3</v>
      </c>
      <c r="AI274" s="98">
        <f t="shared" si="159"/>
        <v>1.5707963267948966</v>
      </c>
      <c r="AJ274" s="98" t="str">
        <f t="shared" si="145"/>
        <v>1+0.224822457301707i</v>
      </c>
      <c r="AK274" s="98">
        <f t="shared" si="160"/>
        <v>1.0249610418485076</v>
      </c>
      <c r="AL274" s="98">
        <f t="shared" si="161"/>
        <v>0.22114544822769222</v>
      </c>
      <c r="AM274" s="98" t="str">
        <f t="shared" si="146"/>
        <v>1+15.5127495538178i</v>
      </c>
      <c r="AN274" s="98">
        <f t="shared" si="162"/>
        <v>15.544947691114125</v>
      </c>
      <c r="AO274" s="98">
        <f t="shared" si="163"/>
        <v>1.506422292006254</v>
      </c>
      <c r="AP274" s="168" t="str">
        <f t="shared" si="164"/>
        <v>-0.338643138157402+0.0994052260184039i</v>
      </c>
      <c r="AQ274" s="98">
        <f t="shared" si="165"/>
        <v>-9.0461939918634542</v>
      </c>
      <c r="AR274" s="169">
        <f t="shared" si="166"/>
        <v>163.64093865440688</v>
      </c>
      <c r="AS274" s="168" t="str">
        <f t="shared" si="167"/>
        <v>0.205944840219404+0.629905894344042i</v>
      </c>
      <c r="AT274" s="190">
        <f t="shared" si="168"/>
        <v>-3.5734289659479872</v>
      </c>
      <c r="AU274" s="169">
        <f t="shared" si="169"/>
        <v>71.895080992555123</v>
      </c>
      <c r="AV274" s="225"/>
      <c r="AX274">
        <f t="shared" si="170"/>
        <v>0</v>
      </c>
      <c r="AY274">
        <f t="shared" si="171"/>
        <v>0</v>
      </c>
    </row>
    <row r="275" spans="14:51" x14ac:dyDescent="0.3">
      <c r="N275" s="170">
        <v>57</v>
      </c>
      <c r="O275" s="199">
        <f t="shared" si="172"/>
        <v>3715.352290971724</v>
      </c>
      <c r="P275" s="189" t="str">
        <f t="shared" ref="P275:P338" si="173">COMPLEX(Adc,0)</f>
        <v>108.75</v>
      </c>
      <c r="Q275" s="160" t="str">
        <f t="shared" ref="Q275:Q338" si="174">IMSUM(COMPLEX(1,0),IMDIV(COMPLEX(0,2*PI()*O275),COMPLEX(wp_lf,0)))</f>
        <v>1+59.2476986972479i</v>
      </c>
      <c r="R275" s="160">
        <f t="shared" si="147"/>
        <v>59.256137242650823</v>
      </c>
      <c r="S275" s="160">
        <f t="shared" si="148"/>
        <v>1.553919636572451</v>
      </c>
      <c r="T275" s="160" t="str">
        <f t="shared" ref="T275:T338" si="175">IMSUM(COMPLEX(1,0),IMDIV(COMPLEX(0,2*PI()*O275),COMPLEX(wz_esr,0)))</f>
        <v>1+0.00219435921100919i</v>
      </c>
      <c r="U275" s="160">
        <f t="shared" si="149"/>
        <v>1.0000024076032752</v>
      </c>
      <c r="V275" s="160">
        <f t="shared" si="150"/>
        <v>2.1943556889175101E-3</v>
      </c>
      <c r="W275" s="98" t="str">
        <f t="shared" ref="W275:W338" si="176">IMSUB(COMPLEX(1,0),IMDIV(COMPLEX(0,2*PI()*O275),COMPLEX(wz_rhp,0)))</f>
        <v>1-0.0174303710378035i</v>
      </c>
      <c r="X275" s="160">
        <f t="shared" si="151"/>
        <v>1.0001518973808508</v>
      </c>
      <c r="Y275" s="160">
        <f t="shared" si="152"/>
        <v>-1.7428606140322225E-2</v>
      </c>
      <c r="Z275" s="98" t="str">
        <f t="shared" ref="Z275:Z338" si="177">IF(Dc_Mode_Loop="CCM",IMSUM(COMPLEX(1,0),IMDIV(COMPLEX(0,2*PI()*O275),COMPLEX(Q*(wsl/2),0)),IMDIV(IMPOWER(COMPLEX(0,2*PI()*O275),2),IMPOWER(COMPLEX(wsl/2,0),2))),COMPLEX(1,0))</f>
        <v>0.999721169697846+0.0336215249194158i</v>
      </c>
      <c r="AA275" s="160">
        <f t="shared" si="153"/>
        <v>1.000286371035783</v>
      </c>
      <c r="AB275" s="160">
        <f t="shared" si="154"/>
        <v>3.3618231560059469E-2</v>
      </c>
      <c r="AC275" s="171" t="str">
        <f t="shared" si="155"/>
        <v>-0.0586659195959704-1.83407260943203i</v>
      </c>
      <c r="AD275" s="190">
        <f t="shared" si="156"/>
        <v>5.2727717070432742</v>
      </c>
      <c r="AE275" s="169">
        <f t="shared" si="157"/>
        <v>-91.832077916099834</v>
      </c>
      <c r="AF275" s="98" t="str">
        <f t="shared" ref="AF275:AF338" si="178">COMPLEX(Adc_ea,0)</f>
        <v>-0.0000366300366300366</v>
      </c>
      <c r="AG275" s="98" t="str">
        <f t="shared" ref="AG275:AG338" si="179">COMPLEX(0,2*PI()*O275*wp0_ea)</f>
        <v>0.00161075303786844i</v>
      </c>
      <c r="AH275" s="98">
        <f t="shared" si="158"/>
        <v>1.6107530378684401E-3</v>
      </c>
      <c r="AI275" s="98">
        <f t="shared" si="159"/>
        <v>1.5707963267948966</v>
      </c>
      <c r="AJ275" s="98" t="str">
        <f t="shared" ref="AJ275:AJ338" si="180">IMSUM(COMPLEX(1,0),IMDIV(COMPLEX(0,2*PI()*O275),COMPLEX(wp1_ea,0)))</f>
        <v>1+0.230059245064176i</v>
      </c>
      <c r="AK275" s="98">
        <f t="shared" si="160"/>
        <v>1.0261224372556614</v>
      </c>
      <c r="AL275" s="98">
        <f t="shared" si="161"/>
        <v>0.22612465572813104</v>
      </c>
      <c r="AM275" s="98" t="str">
        <f t="shared" ref="AM275:AM338" si="181">IMSUM(COMPLEX(1,0),IMDIV(COMPLEX(0,2*PI()*O275),COMPLEX(wz_ea,0)))</f>
        <v>1+15.8740879094281i</v>
      </c>
      <c r="AN275" s="98">
        <f t="shared" si="162"/>
        <v>15.90555459442554</v>
      </c>
      <c r="AO275" s="98">
        <f t="shared" si="163"/>
        <v>1.5078837156750202</v>
      </c>
      <c r="AP275" s="168" t="str">
        <f t="shared" si="164"/>
        <v>-0.337876999541534+0.100472666471237i</v>
      </c>
      <c r="AQ275" s="98">
        <f t="shared" si="165"/>
        <v>-9.056839469689443</v>
      </c>
      <c r="AR275" s="169">
        <f t="shared" si="166"/>
        <v>163.43938448761259</v>
      </c>
      <c r="AS275" s="168" t="str">
        <f t="shared" si="167"/>
        <v>0.204096030459927+0.613796628843412i</v>
      </c>
      <c r="AT275" s="190">
        <f t="shared" si="168"/>
        <v>-3.7840677626461638</v>
      </c>
      <c r="AU275" s="169">
        <f t="shared" si="169"/>
        <v>71.607306571512751</v>
      </c>
      <c r="AV275" s="225"/>
      <c r="AX275">
        <f t="shared" si="170"/>
        <v>0</v>
      </c>
      <c r="AY275">
        <f t="shared" si="171"/>
        <v>0</v>
      </c>
    </row>
    <row r="276" spans="14:51" x14ac:dyDescent="0.3">
      <c r="N276" s="170">
        <v>58</v>
      </c>
      <c r="O276" s="199">
        <f t="shared" si="172"/>
        <v>3801.8939632056172</v>
      </c>
      <c r="P276" s="189" t="str">
        <f t="shared" si="173"/>
        <v>108.75</v>
      </c>
      <c r="Q276" s="160" t="str">
        <f t="shared" si="174"/>
        <v>1+60.6277548856553i</v>
      </c>
      <c r="R276" s="160">
        <f t="shared" ref="R276:R339" si="182">IMABS(Q276)</f>
        <v>60.636001372741433</v>
      </c>
      <c r="S276" s="160">
        <f t="shared" ref="S276:S339" si="183">IMARGUMENT(Q276)</f>
        <v>1.5543037264731487</v>
      </c>
      <c r="T276" s="160" t="str">
        <f t="shared" si="175"/>
        <v>1+0.00224547240317243i</v>
      </c>
      <c r="U276" s="160">
        <f t="shared" ref="U276:U339" si="184">IMABS(T276)</f>
        <v>1.0000025210699788</v>
      </c>
      <c r="V276" s="160">
        <f t="shared" ref="V276:V339" si="185">IMARGUMENT(T276)</f>
        <v>2.2454686291837143E-3</v>
      </c>
      <c r="W276" s="98" t="str">
        <f t="shared" si="176"/>
        <v>1-0.0178363765358377i</v>
      </c>
      <c r="X276" s="160">
        <f t="shared" ref="X276:X339" si="186">IMABS(W276)</f>
        <v>1.0001590555146356</v>
      </c>
      <c r="Y276" s="160">
        <f t="shared" ref="Y276:Y339" si="187">IMARGUMENT(W276)</f>
        <v>-1.7834485430357306E-2</v>
      </c>
      <c r="Z276" s="98" t="str">
        <f t="shared" si="177"/>
        <v>0.999708028830553+0.0344046708398309i</v>
      </c>
      <c r="AA276" s="160">
        <f t="shared" ref="AA276:AA339" si="188">IMABS(Z276)</f>
        <v>1.0002998671817702</v>
      </c>
      <c r="AB276" s="160">
        <f t="shared" ref="AB276:AB339" si="189">IMARGUMENT(Z276)</f>
        <v>3.4401141972449908E-2</v>
      </c>
      <c r="AC276" s="171" t="str">
        <f t="shared" ref="AC276:AC339" si="190">(IMDIV(IMPRODUCT(P276,T276,W276),IMPRODUCT(Q276,Z276)))</f>
        <v>-0.060057962986852-1.79223503660001i</v>
      </c>
      <c r="AD276" s="190">
        <f t="shared" ref="AD276:AD339" si="191">20*LOG(IMABS(AC276))</f>
        <v>5.0727733338655758</v>
      </c>
      <c r="AE276" s="169">
        <f t="shared" ref="AE276:AE339" si="192">(180/PI())*IMARGUMENT(AC276)</f>
        <v>-91.919268723285256</v>
      </c>
      <c r="AF276" s="98" t="str">
        <f t="shared" si="178"/>
        <v>-0.0000366300366300366</v>
      </c>
      <c r="AG276" s="98" t="str">
        <f t="shared" si="179"/>
        <v>0.00164827229594571i</v>
      </c>
      <c r="AH276" s="98">
        <f t="shared" ref="AH276:AH339" si="193">IMABS(AG276)</f>
        <v>1.6482722959457101E-3</v>
      </c>
      <c r="AI276" s="98">
        <f t="shared" ref="AI276:AI339" si="194">IMARGUMENT(AG276)</f>
        <v>1.5707963267948966</v>
      </c>
      <c r="AJ276" s="98" t="str">
        <f t="shared" si="180"/>
        <v>1+0.235418013283572i</v>
      </c>
      <c r="AK276" s="98">
        <f t="shared" ref="AK276:AK339" si="195">IMABS(AJ276)</f>
        <v>1.0273371603219579</v>
      </c>
      <c r="AL276" s="98">
        <f t="shared" ref="AL276:AL339" si="196">IMARGUMENT(AJ276)</f>
        <v>0.23120806014594161</v>
      </c>
      <c r="AM276" s="98" t="str">
        <f t="shared" si="181"/>
        <v>1+16.2438429165664i</v>
      </c>
      <c r="AN276" s="98">
        <f t="shared" ref="AN276:AN339" si="197">IMABS(AM276)</f>
        <v>16.274594701499772</v>
      </c>
      <c r="AO276" s="98">
        <f t="shared" ref="AO276:AO339" si="198">IMARGUMENT(AM276)</f>
        <v>1.5093121333420787</v>
      </c>
      <c r="AP276" s="168" t="str">
        <f t="shared" ref="AP276:AP339" si="199">IMPRODUCT(AF276,IMDIV(AM276,IMPRODUCT(AG276,AJ276)))</f>
        <v>-0.33707846064622+0.101577633587734i</v>
      </c>
      <c r="AQ276" s="98">
        <f t="shared" ref="AQ276:AQ339" si="200">20*LOG(IMABS(AP276))</f>
        <v>-9.0678884360691576</v>
      </c>
      <c r="AR276" s="169">
        <f t="shared" ref="AR276:AR339" si="201">(180/PI())*IMARGUMENT(AP276)</f>
        <v>163.22996917261824</v>
      </c>
      <c r="AS276" s="168" t="str">
        <f t="shared" ref="AS276:AS339" si="202">IMPRODUCT(AC276,AP276)</f>
        <v>0.202295239564011+0.598023281495049i</v>
      </c>
      <c r="AT276" s="190">
        <f t="shared" ref="AT276:AT339" si="203">20*LOG(IMABS(AS276))</f>
        <v>-3.9951151022035809</v>
      </c>
      <c r="AU276" s="169">
        <f t="shared" ref="AU276:AU339" si="204">(180/PI())*IMARGUMENT(AS276)</f>
        <v>71.31070044933297</v>
      </c>
      <c r="AV276" s="225"/>
      <c r="AX276">
        <f t="shared" ref="AX276:AX339" si="205">SUM((AT277&lt;0)*(AT276&gt;0))*O276</f>
        <v>0</v>
      </c>
      <c r="AY276">
        <f t="shared" ref="AY276:AY339" si="206">IF(AX276&gt;0,AU276,0)</f>
        <v>0</v>
      </c>
    </row>
    <row r="277" spans="14:51" x14ac:dyDescent="0.3">
      <c r="N277" s="170">
        <v>59</v>
      </c>
      <c r="O277" s="199">
        <f t="shared" si="172"/>
        <v>3890.451449942811</v>
      </c>
      <c r="P277" s="189" t="str">
        <f t="shared" si="173"/>
        <v>108.75</v>
      </c>
      <c r="Q277" s="160" t="str">
        <f t="shared" si="174"/>
        <v>1+62.0399567122063i</v>
      </c>
      <c r="R277" s="160">
        <f t="shared" si="182"/>
        <v>62.048015510993032</v>
      </c>
      <c r="S277" s="160">
        <f t="shared" si="183"/>
        <v>1.5546790781228732</v>
      </c>
      <c r="T277" s="160" t="str">
        <f t="shared" si="175"/>
        <v>1+0.00229777617452617i</v>
      </c>
      <c r="U277" s="160">
        <f t="shared" si="184"/>
        <v>1.0000026398841897</v>
      </c>
      <c r="V277" s="160">
        <f t="shared" si="185"/>
        <v>2.29777213062498E-3</v>
      </c>
      <c r="W277" s="98" t="str">
        <f t="shared" si="176"/>
        <v>1-0.0182518391168036i</v>
      </c>
      <c r="X277" s="160">
        <f t="shared" si="186"/>
        <v>1.0001665509459641</v>
      </c>
      <c r="Y277" s="160">
        <f t="shared" si="187"/>
        <v>-1.824981277899718E-2</v>
      </c>
      <c r="Z277" s="98" t="str">
        <f t="shared" si="177"/>
        <v>0.999694268653264+0.035206058572125i</v>
      </c>
      <c r="AA277" s="160">
        <f t="shared" si="188"/>
        <v>1.0003139993713814</v>
      </c>
      <c r="AB277" s="160">
        <f t="shared" si="189"/>
        <v>3.5202277357100159E-2</v>
      </c>
      <c r="AC277" s="171" t="str">
        <f t="shared" si="190"/>
        <v>-0.061387141100037-1.75134566533211i</v>
      </c>
      <c r="AD277" s="190">
        <f t="shared" si="191"/>
        <v>4.8727699098412289</v>
      </c>
      <c r="AE277" s="169">
        <f t="shared" si="192"/>
        <v>-92.007476199313871</v>
      </c>
      <c r="AF277" s="98" t="str">
        <f t="shared" si="178"/>
        <v>-0.0000366300366300366</v>
      </c>
      <c r="AG277" s="98" t="str">
        <f t="shared" si="179"/>
        <v>0.00168666548981176i</v>
      </c>
      <c r="AH277" s="98">
        <f t="shared" si="193"/>
        <v>1.6866654898117599E-3</v>
      </c>
      <c r="AI277" s="98">
        <f t="shared" si="194"/>
        <v>1.5707963267948966</v>
      </c>
      <c r="AJ277" s="98" t="str">
        <f t="shared" si="180"/>
        <v>1+0.240901603249737i</v>
      </c>
      <c r="AK277" s="98">
        <f t="shared" si="195"/>
        <v>1.0286075940067201</v>
      </c>
      <c r="AL277" s="98">
        <f t="shared" si="196"/>
        <v>0.23639730541953882</v>
      </c>
      <c r="AM277" s="98" t="str">
        <f t="shared" si="181"/>
        <v>1+16.6222106242318i</v>
      </c>
      <c r="AN277" s="98">
        <f t="shared" si="197"/>
        <v>16.652263691051875</v>
      </c>
      <c r="AO277" s="98">
        <f t="shared" si="198"/>
        <v>1.510708279044142</v>
      </c>
      <c r="AP277" s="168" t="str">
        <f t="shared" si="199"/>
        <v>-0.336246323344927+0.102719706555503i</v>
      </c>
      <c r="AQ277" s="98">
        <f t="shared" si="200"/>
        <v>-9.0793610611410163</v>
      </c>
      <c r="AR277" s="169">
        <f t="shared" si="201"/>
        <v>163.01264057589651</v>
      </c>
      <c r="AS277" s="168" t="str">
        <f t="shared" si="202"/>
        <v>0.20053891331571+0.58257787175392i</v>
      </c>
      <c r="AT277" s="190">
        <f t="shared" si="203"/>
        <v>-4.2065911512997882</v>
      </c>
      <c r="AU277" s="169">
        <f t="shared" si="204"/>
        <v>71.005164376582655</v>
      </c>
      <c r="AV277" s="225"/>
      <c r="AX277">
        <f t="shared" si="205"/>
        <v>0</v>
      </c>
      <c r="AY277">
        <f t="shared" si="206"/>
        <v>0</v>
      </c>
    </row>
    <row r="278" spans="14:51" x14ac:dyDescent="0.3">
      <c r="N278" s="170">
        <v>60</v>
      </c>
      <c r="O278" s="199">
        <f t="shared" si="172"/>
        <v>3981.0717055349769</v>
      </c>
      <c r="P278" s="189" t="str">
        <f t="shared" si="173"/>
        <v>108.75</v>
      </c>
      <c r="Q278" s="160" t="str">
        <f t="shared" si="174"/>
        <v>1+63.4850529450019i</v>
      </c>
      <c r="R278" s="160">
        <f t="shared" si="182"/>
        <v>63.492928326150569</v>
      </c>
      <c r="S278" s="160">
        <f t="shared" si="183"/>
        <v>1.5550458901147317</v>
      </c>
      <c r="T278" s="160" t="str">
        <f t="shared" si="175"/>
        <v>1+0.0023512982572223i</v>
      </c>
      <c r="U278" s="160">
        <f t="shared" si="184"/>
        <v>1.0000027642979266</v>
      </c>
      <c r="V278" s="160">
        <f t="shared" si="185"/>
        <v>2.3512939241047532E-3</v>
      </c>
      <c r="W278" s="98" t="str">
        <f t="shared" si="176"/>
        <v>1-0.0186769790644609i</v>
      </c>
      <c r="X278" s="160">
        <f t="shared" si="186"/>
        <v>1.0001743995658827</v>
      </c>
      <c r="Y278" s="160">
        <f t="shared" si="187"/>
        <v>-1.8674807824829675E-2</v>
      </c>
      <c r="Z278" s="98" t="str">
        <f t="shared" si="177"/>
        <v>0.999679859978798+0.0360261130226812i</v>
      </c>
      <c r="AA278" s="160">
        <f t="shared" si="188"/>
        <v>1.0003287975794521</v>
      </c>
      <c r="AB278" s="160">
        <f t="shared" si="189"/>
        <v>3.6022061416493049E-2</v>
      </c>
      <c r="AC278" s="171" t="str">
        <f t="shared" si="190"/>
        <v>-0.0626562688088666-1.71138295408595i</v>
      </c>
      <c r="AD278" s="190">
        <f t="shared" si="191"/>
        <v>4.6727614277346303</v>
      </c>
      <c r="AE278" s="169">
        <f t="shared" si="192"/>
        <v>-92.096746994599272</v>
      </c>
      <c r="AF278" s="98" t="str">
        <f t="shared" si="178"/>
        <v>-0.0000366300366300366</v>
      </c>
      <c r="AG278" s="98" t="str">
        <f t="shared" si="179"/>
        <v>0.00172595297604616i</v>
      </c>
      <c r="AH278" s="98">
        <f t="shared" si="193"/>
        <v>1.7259529760461599E-3</v>
      </c>
      <c r="AI278" s="98">
        <f t="shared" si="194"/>
        <v>1.5707963267948966</v>
      </c>
      <c r="AJ278" s="98" t="str">
        <f t="shared" si="180"/>
        <v>1+0.246512922434654i</v>
      </c>
      <c r="AK278" s="98">
        <f t="shared" si="195"/>
        <v>1.0299362217765107</v>
      </c>
      <c r="AL278" s="98">
        <f t="shared" si="196"/>
        <v>0.24169402456481476</v>
      </c>
      <c r="AM278" s="98" t="str">
        <f t="shared" si="181"/>
        <v>1+17.009391647991i</v>
      </c>
      <c r="AN278" s="98">
        <f t="shared" si="197"/>
        <v>17.038761816362889</v>
      </c>
      <c r="AO278" s="98">
        <f t="shared" si="198"/>
        <v>1.5120728712526532</v>
      </c>
      <c r="AP278" s="168" t="str">
        <f t="shared" si="199"/>
        <v>-0.33537936082867+0.103898425518069i</v>
      </c>
      <c r="AQ278" s="98">
        <f t="shared" si="200"/>
        <v>-9.0912781248645018</v>
      </c>
      <c r="AR278" s="169">
        <f t="shared" si="201"/>
        <v>162.78734629791029</v>
      </c>
      <c r="AS278" s="168" t="str">
        <f t="shared" si="202"/>
        <v>0.198823613773019+0.567452633596349i</v>
      </c>
      <c r="AT278" s="190">
        <f t="shared" si="203"/>
        <v>-4.4185166971298679</v>
      </c>
      <c r="AU278" s="169">
        <f t="shared" si="204"/>
        <v>70.690599303311004</v>
      </c>
      <c r="AV278" s="225"/>
      <c r="AX278">
        <f t="shared" si="205"/>
        <v>0</v>
      </c>
      <c r="AY278">
        <f t="shared" si="206"/>
        <v>0</v>
      </c>
    </row>
    <row r="279" spans="14:51" x14ac:dyDescent="0.3">
      <c r="N279" s="170">
        <v>61</v>
      </c>
      <c r="O279" s="199">
        <f t="shared" si="172"/>
        <v>4073.8027780411317</v>
      </c>
      <c r="P279" s="189" t="str">
        <f t="shared" si="173"/>
        <v>108.75</v>
      </c>
      <c r="Q279" s="160" t="str">
        <f t="shared" si="174"/>
        <v>1+64.9638097931932i</v>
      </c>
      <c r="R279" s="160">
        <f t="shared" si="182"/>
        <v>64.971505930262893</v>
      </c>
      <c r="S279" s="160">
        <f t="shared" si="183"/>
        <v>1.5554043565422317</v>
      </c>
      <c r="T279" s="160" t="str">
        <f t="shared" si="175"/>
        <v>1+0.00240606702937753i</v>
      </c>
      <c r="U279" s="160">
        <f t="shared" si="184"/>
        <v>1.0000028945750856</v>
      </c>
      <c r="V279" s="160">
        <f t="shared" si="185"/>
        <v>2.4060623863591526E-3</v>
      </c>
      <c r="W279" s="98" t="str">
        <f t="shared" si="176"/>
        <v>1-0.0191120217936372i</v>
      </c>
      <c r="X279" s="160">
        <f t="shared" si="186"/>
        <v>1.0001826180138507</v>
      </c>
      <c r="Y279" s="160">
        <f t="shared" si="187"/>
        <v>-1.9109695291397753E-2</v>
      </c>
      <c r="Z279" s="98" t="str">
        <f t="shared" si="177"/>
        <v>0.999664772244426+0.0368652689952241i</v>
      </c>
      <c r="AA279" s="160">
        <f t="shared" si="188"/>
        <v>1.0003442931933937</v>
      </c>
      <c r="AB279" s="160">
        <f t="shared" si="189"/>
        <v>3.6860927664406525E-2</v>
      </c>
      <c r="AC279" s="171" t="str">
        <f t="shared" si="190"/>
        <v>-0.0638680340099127-1.67232584346233i</v>
      </c>
      <c r="AD279" s="190">
        <f t="shared" si="191"/>
        <v>4.4727478696006431</v>
      </c>
      <c r="AE279" s="169">
        <f t="shared" si="192"/>
        <v>-92.187128318233476</v>
      </c>
      <c r="AF279" s="98" t="str">
        <f t="shared" si="178"/>
        <v>-0.0000366300366300366</v>
      </c>
      <c r="AG279" s="98" t="str">
        <f t="shared" si="179"/>
        <v>0.00176615558539414i</v>
      </c>
      <c r="AH279" s="98">
        <f t="shared" si="193"/>
        <v>1.76615558539414E-3</v>
      </c>
      <c r="AI279" s="98">
        <f t="shared" si="194"/>
        <v>1.5707963267948966</v>
      </c>
      <c r="AJ279" s="98" t="str">
        <f t="shared" si="180"/>
        <v>1+0.25225494603403i</v>
      </c>
      <c r="AK279" s="98">
        <f t="shared" si="195"/>
        <v>1.0313256313108055</v>
      </c>
      <c r="AL279" s="98">
        <f t="shared" si="196"/>
        <v>0.2470998366507435</v>
      </c>
      <c r="AM279" s="98" t="str">
        <f t="shared" si="181"/>
        <v>1+17.405591276348i</v>
      </c>
      <c r="AN279" s="98">
        <f t="shared" si="197"/>
        <v>17.434294011495897</v>
      </c>
      <c r="AO279" s="98">
        <f t="shared" si="198"/>
        <v>1.5134066131527888</v>
      </c>
      <c r="AP279" s="168" t="str">
        <f t="shared" si="199"/>
        <v>-0.334476318410191+0.105113288544688i</v>
      </c>
      <c r="AQ279" s="98">
        <f t="shared" si="200"/>
        <v>-9.1036610360654873</v>
      </c>
      <c r="AR279" s="169">
        <f t="shared" si="201"/>
        <v>162.55403386238316</v>
      </c>
      <c r="AS279" s="168" t="str">
        <f t="shared" si="202"/>
        <v>0.197146013804327+0.552640012215832i</v>
      </c>
      <c r="AT279" s="190">
        <f t="shared" si="203"/>
        <v>-4.630913166464838</v>
      </c>
      <c r="AU279" s="169">
        <f t="shared" si="204"/>
        <v>70.366905544149716</v>
      </c>
      <c r="AV279" s="225"/>
      <c r="AX279">
        <f t="shared" si="205"/>
        <v>0</v>
      </c>
      <c r="AY279">
        <f t="shared" si="206"/>
        <v>0</v>
      </c>
    </row>
    <row r="280" spans="14:51" x14ac:dyDescent="0.3">
      <c r="N280" s="170">
        <v>62</v>
      </c>
      <c r="O280" s="199">
        <f t="shared" si="172"/>
        <v>4168.6938347033583</v>
      </c>
      <c r="P280" s="189" t="str">
        <f t="shared" si="173"/>
        <v>108.75</v>
      </c>
      <c r="Q280" s="160" t="str">
        <f t="shared" si="174"/>
        <v>1+66.4770113132345i</v>
      </c>
      <c r="R280" s="160">
        <f t="shared" si="182"/>
        <v>66.484532284884935</v>
      </c>
      <c r="S280" s="160">
        <f t="shared" si="183"/>
        <v>1.5557546671003084</v>
      </c>
      <c r="T280" s="160" t="str">
        <f t="shared" si="175"/>
        <v>1+0.00246211153011981i</v>
      </c>
      <c r="U280" s="160">
        <f t="shared" si="184"/>
        <v>1.0000030309919998</v>
      </c>
      <c r="V280" s="160">
        <f t="shared" si="185"/>
        <v>2.4621065550367986E-3</v>
      </c>
      <c r="W280" s="98" t="str">
        <f t="shared" si="176"/>
        <v>1-0.019557197969746i</v>
      </c>
      <c r="X280" s="160">
        <f t="shared" si="186"/>
        <v>1.0001912237129598</v>
      </c>
      <c r="Y280" s="160">
        <f t="shared" si="187"/>
        <v>-1.9554705103423154E-2</v>
      </c>
      <c r="Z280" s="98" t="str">
        <f t="shared" si="177"/>
        <v>0.99964897344704+0.0377239714213579i</v>
      </c>
      <c r="AA280" s="160">
        <f t="shared" si="188"/>
        <v>1.0003605190797566</v>
      </c>
      <c r="AB280" s="160">
        <f t="shared" si="189"/>
        <v>3.7719319650304749E-2</v>
      </c>
      <c r="AC280" s="171" t="str">
        <f t="shared" si="190"/>
        <v>-0.0650250032896606-1.63415374565533i</v>
      </c>
      <c r="AD280" s="190">
        <f t="shared" si="191"/>
        <v>4.2727292067467175</v>
      </c>
      <c r="AE280" s="169">
        <f t="shared" si="192"/>
        <v>-92.278667962429353</v>
      </c>
      <c r="AF280" s="98" t="str">
        <f t="shared" si="178"/>
        <v>-0.0000366300366300366</v>
      </c>
      <c r="AG280" s="98" t="str">
        <f t="shared" si="179"/>
        <v>0.00180729463381134i</v>
      </c>
      <c r="AH280" s="98">
        <f t="shared" si="193"/>
        <v>1.8072946338113401E-3</v>
      </c>
      <c r="AI280" s="98">
        <f t="shared" si="194"/>
        <v>1.5707963267948966</v>
      </c>
      <c r="AJ280" s="98" t="str">
        <f t="shared" si="180"/>
        <v>1+0.258130718544784i</v>
      </c>
      <c r="AK280" s="98">
        <f t="shared" si="195"/>
        <v>1.0327785182973388</v>
      </c>
      <c r="AL280" s="98">
        <f t="shared" si="196"/>
        <v>0.25261634358529284</v>
      </c>
      <c r="AM280" s="98" t="str">
        <f t="shared" si="181"/>
        <v>1+17.81101957959i</v>
      </c>
      <c r="AN280" s="98">
        <f t="shared" si="197"/>
        <v>17.839069999989864</v>
      </c>
      <c r="AO280" s="98">
        <f t="shared" si="198"/>
        <v>1.5147101929210216</v>
      </c>
      <c r="AP280" s="168" t="str">
        <f t="shared" si="199"/>
        <v>-0.333535914507241+0.106363748518703i</v>
      </c>
      <c r="AQ280" s="98">
        <f t="shared" si="200"/>
        <v>-9.1165318508472577</v>
      </c>
      <c r="AR280" s="169">
        <f t="shared" si="201"/>
        <v>162.31265091635723</v>
      </c>
      <c r="AS280" s="168" t="str">
        <f t="shared" si="202"/>
        <v>0.195502891981833+0.538132660905254i</v>
      </c>
      <c r="AT280" s="190">
        <f t="shared" si="203"/>
        <v>-4.8438026441005491</v>
      </c>
      <c r="AU280" s="169">
        <f t="shared" si="204"/>
        <v>70.03398295392789</v>
      </c>
      <c r="AV280" s="225"/>
      <c r="AX280">
        <f t="shared" si="205"/>
        <v>0</v>
      </c>
      <c r="AY280">
        <f t="shared" si="206"/>
        <v>0</v>
      </c>
    </row>
    <row r="281" spans="14:51" x14ac:dyDescent="0.3">
      <c r="N281" s="170">
        <v>63</v>
      </c>
      <c r="O281" s="199">
        <f t="shared" si="172"/>
        <v>4265.7951880159299</v>
      </c>
      <c r="P281" s="189" t="str">
        <f t="shared" si="173"/>
        <v>108.75</v>
      </c>
      <c r="Q281" s="160" t="str">
        <f t="shared" si="174"/>
        <v>1+68.0254598246013i</v>
      </c>
      <c r="R281" s="160">
        <f t="shared" si="182"/>
        <v>68.032809616746277</v>
      </c>
      <c r="S281" s="160">
        <f t="shared" si="183"/>
        <v>1.5560970071841449</v>
      </c>
      <c r="T281" s="160" t="str">
        <f t="shared" si="175"/>
        <v>1+0.00251946147498524i</v>
      </c>
      <c r="U281" s="160">
        <f t="shared" si="184"/>
        <v>1.0000031738380253</v>
      </c>
      <c r="V281" s="160">
        <f t="shared" si="185"/>
        <v>2.5194561440886618E-3</v>
      </c>
      <c r="W281" s="98" t="str">
        <f t="shared" si="176"/>
        <v>1-0.0200127436310885i</v>
      </c>
      <c r="X281" s="160">
        <f t="shared" si="186"/>
        <v>1.0002002349068129</v>
      </c>
      <c r="Y281" s="160">
        <f t="shared" si="187"/>
        <v>-2.0010072505578669E-2</v>
      </c>
      <c r="Z281" s="98" t="str">
        <f t="shared" si="177"/>
        <v>0.999632430075271+0.0386026755964749i</v>
      </c>
      <c r="AA281" s="160">
        <f t="shared" si="188"/>
        <v>1.0003775096539296</v>
      </c>
      <c r="AB281" s="160">
        <f t="shared" si="189"/>
        <v>3.8597691188660542E-2</v>
      </c>
      <c r="AC281" s="171" t="str">
        <f t="shared" si="190"/>
        <v>-0.0661296273369584-1.59684653411175i</v>
      </c>
      <c r="AD281" s="190">
        <f t="shared" si="191"/>
        <v>4.0727053996726577</v>
      </c>
      <c r="AE281" s="169">
        <f t="shared" si="192"/>
        <v>-92.371414327245418</v>
      </c>
      <c r="AF281" s="98" t="str">
        <f t="shared" si="178"/>
        <v>-0.0000366300366300366</v>
      </c>
      <c r="AG281" s="98" t="str">
        <f t="shared" si="179"/>
        <v>0.00184939193376576i</v>
      </c>
      <c r="AH281" s="98">
        <f t="shared" si="193"/>
        <v>1.84939193376576E-3</v>
      </c>
      <c r="AI281" s="98">
        <f t="shared" si="194"/>
        <v>1.5707963267948966</v>
      </c>
      <c r="AJ281" s="98" t="str">
        <f t="shared" si="180"/>
        <v>1+0.264143355379273i</v>
      </c>
      <c r="AK281" s="98">
        <f t="shared" si="195"/>
        <v>1.0342976903150374</v>
      </c>
      <c r="AL281" s="98">
        <f t="shared" si="196"/>
        <v>0.25824512670636052</v>
      </c>
      <c r="AM281" s="98" t="str">
        <f t="shared" si="181"/>
        <v>1+18.2258915211698i</v>
      </c>
      <c r="AN281" s="98">
        <f t="shared" si="197"/>
        <v>18.253304406091772</v>
      </c>
      <c r="AO281" s="98">
        <f t="shared" si="198"/>
        <v>1.5159842840009741</v>
      </c>
      <c r="AP281" s="168" t="str">
        <f t="shared" si="199"/>
        <v>-0.332556841819141+0.107649209950867i</v>
      </c>
      <c r="AQ281" s="98">
        <f t="shared" si="200"/>
        <v>-9.1299132902663906</v>
      </c>
      <c r="AR281" s="169">
        <f t="shared" si="201"/>
        <v>162.06314544132206</v>
      </c>
      <c r="AS281" s="168" t="str">
        <f t="shared" si="202"/>
        <v>0.193891127827766+0.523923438116876i</v>
      </c>
      <c r="AT281" s="190">
        <f t="shared" si="203"/>
        <v>-5.0572078905937321</v>
      </c>
      <c r="AU281" s="169">
        <f t="shared" si="204"/>
        <v>69.691731114076646</v>
      </c>
      <c r="AV281" s="225"/>
      <c r="AX281">
        <f t="shared" si="205"/>
        <v>0</v>
      </c>
      <c r="AY281">
        <f t="shared" si="206"/>
        <v>0</v>
      </c>
    </row>
    <row r="282" spans="14:51" x14ac:dyDescent="0.3">
      <c r="N282" s="170">
        <v>64</v>
      </c>
      <c r="O282" s="199">
        <f t="shared" si="172"/>
        <v>4365.1583224016631</v>
      </c>
      <c r="P282" s="189" t="str">
        <f t="shared" si="173"/>
        <v>108.75</v>
      </c>
      <c r="Q282" s="160" t="str">
        <f t="shared" si="174"/>
        <v>1+69.6099763351904i</v>
      </c>
      <c r="R282" s="160">
        <f t="shared" si="182"/>
        <v>69.617158843102516</v>
      </c>
      <c r="S282" s="160">
        <f t="shared" si="183"/>
        <v>1.5564315579858319</v>
      </c>
      <c r="T282" s="160" t="str">
        <f t="shared" si="175"/>
        <v>1+0.00257814727167373i</v>
      </c>
      <c r="U282" s="160">
        <f t="shared" si="184"/>
        <v>1.0000033234161547</v>
      </c>
      <c r="V282" s="160">
        <f t="shared" si="185"/>
        <v>2.5781415595161577E-3</v>
      </c>
      <c r="W282" s="98" t="str">
        <f t="shared" si="176"/>
        <v>1-0.0204789003140041i</v>
      </c>
      <c r="X282" s="160">
        <f t="shared" si="186"/>
        <v>1.0002096706981347</v>
      </c>
      <c r="Y282" s="160">
        <f t="shared" si="187"/>
        <v>-2.0476038183857178E-2</v>
      </c>
      <c r="Z282" s="98" t="str">
        <f t="shared" si="177"/>
        <v>0.999615107038412+0.03950184742116i</v>
      </c>
      <c r="AA282" s="160">
        <f t="shared" si="188"/>
        <v>1.0003953009531286</v>
      </c>
      <c r="AB282" s="160">
        <f t="shared" si="189"/>
        <v>3.9496506593303705E-2</v>
      </c>
      <c r="AC282" s="171" t="str">
        <f t="shared" si="190"/>
        <v>-0.0671842461124431-1.5603845333971i</v>
      </c>
      <c r="AD282" s="190">
        <f t="shared" si="191"/>
        <v>3.8726763979876151</v>
      </c>
      <c r="AE282" s="169">
        <f t="shared" si="192"/>
        <v>-92.465416445602543</v>
      </c>
      <c r="AF282" s="98" t="str">
        <f t="shared" si="178"/>
        <v>-0.0000366300366300366</v>
      </c>
      <c r="AG282" s="98" t="str">
        <f t="shared" si="179"/>
        <v>0.00189246980580305i</v>
      </c>
      <c r="AH282" s="98">
        <f t="shared" si="193"/>
        <v>1.8924698058030501E-3</v>
      </c>
      <c r="AI282" s="98">
        <f t="shared" si="194"/>
        <v>1.5707963267948966</v>
      </c>
      <c r="AJ282" s="98" t="str">
        <f t="shared" si="180"/>
        <v>1+0.270296044517134i</v>
      </c>
      <c r="AK282" s="98">
        <f t="shared" si="195"/>
        <v>1.035886070802001</v>
      </c>
      <c r="AL282" s="98">
        <f t="shared" si="196"/>
        <v>0.26398774317293938</v>
      </c>
      <c r="AM282" s="98" t="str">
        <f t="shared" si="181"/>
        <v>1+18.6504270716822i</v>
      </c>
      <c r="AN282" s="98">
        <f t="shared" si="197"/>
        <v>18.677216868584466</v>
      </c>
      <c r="AO282" s="98">
        <f t="shared" si="198"/>
        <v>1.5172295453772908</v>
      </c>
      <c r="AP282" s="168" t="str">
        <f t="shared" si="199"/>
        <v>-0.331537768711044+0.108969025725346i</v>
      </c>
      <c r="AQ282" s="98">
        <f t="shared" si="200"/>
        <v>-9.1438287571676398</v>
      </c>
      <c r="AR282" s="169">
        <f t="shared" si="201"/>
        <v>161.80546597567849</v>
      </c>
      <c r="AS282" s="168" t="str">
        <f t="shared" si="202"/>
        <v>0.192307697409834+0.510005404690733i</v>
      </c>
      <c r="AT282" s="190">
        <f t="shared" si="203"/>
        <v>-5.2711523591800304</v>
      </c>
      <c r="AU282" s="169">
        <f t="shared" si="204"/>
        <v>69.340049530075888</v>
      </c>
      <c r="AV282" s="225"/>
      <c r="AX282">
        <f t="shared" si="205"/>
        <v>0</v>
      </c>
      <c r="AY282">
        <f t="shared" si="206"/>
        <v>0</v>
      </c>
    </row>
    <row r="283" spans="14:51" x14ac:dyDescent="0.3">
      <c r="N283" s="170">
        <v>65</v>
      </c>
      <c r="O283" s="199">
        <f t="shared" si="172"/>
        <v>4466.8359215096343</v>
      </c>
      <c r="P283" s="189" t="str">
        <f t="shared" si="173"/>
        <v>108.75</v>
      </c>
      <c r="Q283" s="160" t="str">
        <f t="shared" si="174"/>
        <v>1+71.2314009766294i</v>
      </c>
      <c r="R283" s="160">
        <f t="shared" si="182"/>
        <v>71.238420006997359</v>
      </c>
      <c r="S283" s="160">
        <f t="shared" si="183"/>
        <v>1.5567584965889063</v>
      </c>
      <c r="T283" s="160" t="str">
        <f t="shared" si="175"/>
        <v>1+0.00263820003617147i</v>
      </c>
      <c r="U283" s="160">
        <f t="shared" si="184"/>
        <v>1.0000034800436601</v>
      </c>
      <c r="V283" s="160">
        <f t="shared" si="185"/>
        <v>2.6381939154855069E-3</v>
      </c>
      <c r="W283" s="98" t="str">
        <f t="shared" si="176"/>
        <v>1-0.0209559151809365i</v>
      </c>
      <c r="X283" s="160">
        <f t="shared" si="186"/>
        <v>1.0002195510891949</v>
      </c>
      <c r="Y283" s="160">
        <f t="shared" si="187"/>
        <v>-2.0952848389586377E-2</v>
      </c>
      <c r="Z283" s="98" t="str">
        <f t="shared" si="177"/>
        <v>0.999596967591977+0.0404219636482166i</v>
      </c>
      <c r="AA283" s="160">
        <f t="shared" si="188"/>
        <v>1.0004139307128093</v>
      </c>
      <c r="AB283" s="160">
        <f t="shared" si="189"/>
        <v>4.0416240916887468E-2</v>
      </c>
      <c r="AC283" s="171" t="str">
        <f t="shared" si="190"/>
        <v>-0.0681910937856643-1.52474850926527i</v>
      </c>
      <c r="AD283" s="190">
        <f t="shared" si="191"/>
        <v>3.6726421403040135</v>
      </c>
      <c r="AE283" s="169">
        <f t="shared" si="192"/>
        <v>-92.560724008603472</v>
      </c>
      <c r="AF283" s="98" t="str">
        <f t="shared" si="178"/>
        <v>-0.0000366300366300366</v>
      </c>
      <c r="AG283" s="98" t="str">
        <f t="shared" si="179"/>
        <v>0.00193655109038118i</v>
      </c>
      <c r="AH283" s="98">
        <f t="shared" si="193"/>
        <v>1.9365510903811801E-3</v>
      </c>
      <c r="AI283" s="98">
        <f t="shared" si="194"/>
        <v>1.5707963267948966</v>
      </c>
      <c r="AJ283" s="98" t="str">
        <f t="shared" si="180"/>
        <v>1+0.27659204819559i</v>
      </c>
      <c r="AK283" s="98">
        <f t="shared" si="195"/>
        <v>1.0375467031054706</v>
      </c>
      <c r="AL283" s="98">
        <f t="shared" si="196"/>
        <v>0.26984572215222158</v>
      </c>
      <c r="AM283" s="98" t="str">
        <f t="shared" si="181"/>
        <v>1+19.0848513254957i</v>
      </c>
      <c r="AN283" s="98">
        <f t="shared" si="197"/>
        <v>19.111032157271751</v>
      </c>
      <c r="AO283" s="98">
        <f t="shared" si="198"/>
        <v>1.5184466218473076</v>
      </c>
      <c r="AP283" s="168" t="str">
        <f t="shared" si="199"/>
        <v>-0.330477340820722+0.110322493787643i</v>
      </c>
      <c r="AQ283" s="98">
        <f t="shared" si="200"/>
        <v>-9.1583023520605593</v>
      </c>
      <c r="AR283" s="169">
        <f t="shared" si="201"/>
        <v>161.53956184876586</v>
      </c>
      <c r="AS283" s="168" t="str">
        <f t="shared" si="202"/>
        <v>0.190749669283078+0.496371821241805i</v>
      </c>
      <c r="AT283" s="190">
        <f t="shared" si="203"/>
        <v>-5.4856602117565494</v>
      </c>
      <c r="AU283" s="169">
        <f t="shared" si="204"/>
        <v>68.978837840162441</v>
      </c>
      <c r="AV283" s="225"/>
      <c r="AX283">
        <f t="shared" si="205"/>
        <v>0</v>
      </c>
      <c r="AY283">
        <f t="shared" si="206"/>
        <v>0</v>
      </c>
    </row>
    <row r="284" spans="14:51" x14ac:dyDescent="0.3">
      <c r="N284" s="170">
        <v>66</v>
      </c>
      <c r="O284" s="199">
        <f t="shared" ref="O284:O318" si="207">10^(3+(N284/100))</f>
        <v>4570.8818961487532</v>
      </c>
      <c r="P284" s="189" t="str">
        <f t="shared" si="173"/>
        <v>108.75</v>
      </c>
      <c r="Q284" s="160" t="str">
        <f t="shared" si="174"/>
        <v>1+72.8905934497254i</v>
      </c>
      <c r="R284" s="160">
        <f t="shared" si="182"/>
        <v>72.897452722664809</v>
      </c>
      <c r="S284" s="160">
        <f t="shared" si="183"/>
        <v>1.5570779960608137</v>
      </c>
      <c r="T284" s="160" t="str">
        <f t="shared" si="175"/>
        <v>1+0.0026996516092491i</v>
      </c>
      <c r="U284" s="160">
        <f t="shared" si="184"/>
        <v>1.0000036440527662</v>
      </c>
      <c r="V284" s="160">
        <f t="shared" si="185"/>
        <v>2.6996450508172199E-3</v>
      </c>
      <c r="W284" s="98" t="str">
        <f t="shared" si="176"/>
        <v>1-0.0214440411514822i</v>
      </c>
      <c r="X284" s="160">
        <f t="shared" si="186"/>
        <v>1.0002298970241323</v>
      </c>
      <c r="Y284" s="160">
        <f t="shared" si="187"/>
        <v>-2.1440755066136786E-2</v>
      </c>
      <c r="Z284" s="98" t="str">
        <f t="shared" si="177"/>
        <v>0.999577973259769+0.0413635121354474i</v>
      </c>
      <c r="AA284" s="160">
        <f t="shared" si="188"/>
        <v>1.0004334384467</v>
      </c>
      <c r="AB284" s="160">
        <f t="shared" si="189"/>
        <v>4.1357380195569948E-2</v>
      </c>
      <c r="AC284" s="171" t="str">
        <f t="shared" si="190"/>
        <v>-0.0691523034501607-1.48991965892912i</v>
      </c>
      <c r="AD284" s="190">
        <f t="shared" si="191"/>
        <v>3.4726025541087697</v>
      </c>
      <c r="AE284" s="169">
        <f t="shared" si="192"/>
        <v>-92.657387391164704</v>
      </c>
      <c r="AF284" s="98" t="str">
        <f t="shared" si="178"/>
        <v>-0.0000366300366300366</v>
      </c>
      <c r="AG284" s="98" t="str">
        <f t="shared" si="179"/>
        <v>0.00198165915998072i</v>
      </c>
      <c r="AH284" s="98">
        <f t="shared" si="193"/>
        <v>1.9816591599807198E-3</v>
      </c>
      <c r="AI284" s="98">
        <f t="shared" si="194"/>
        <v>1.5707963267948966</v>
      </c>
      <c r="AJ284" s="98" t="str">
        <f t="shared" si="180"/>
        <v>1+0.283034704639128i</v>
      </c>
      <c r="AK284" s="98">
        <f t="shared" si="195"/>
        <v>1.0392827546101968</v>
      </c>
      <c r="AL284" s="98">
        <f t="shared" si="196"/>
        <v>0.27582056079903911</v>
      </c>
      <c r="AM284" s="98" t="str">
        <f t="shared" si="181"/>
        <v>1+19.5293946200998i</v>
      </c>
      <c r="AN284" s="98">
        <f t="shared" si="197"/>
        <v>19.55498029218089</v>
      </c>
      <c r="AO284" s="98">
        <f t="shared" si="198"/>
        <v>1.519636144290299</v>
      </c>
      <c r="AP284" s="168" t="str">
        <f t="shared" si="199"/>
        <v>-0.329374182902815+0.111708853785221i</v>
      </c>
      <c r="AQ284" s="98">
        <f t="shared" si="200"/>
        <v>-9.1733588879139916</v>
      </c>
      <c r="AR284" s="169">
        <f t="shared" si="201"/>
        <v>161.26538342665108</v>
      </c>
      <c r="AS284" s="168" t="str">
        <f t="shared" si="202"/>
        <v>0.189214200775784+0.483016145695594i</v>
      </c>
      <c r="AT284" s="190">
        <f t="shared" si="203"/>
        <v>-5.7007563338052281</v>
      </c>
      <c r="AU284" s="169">
        <f t="shared" si="204"/>
        <v>68.607996035486337</v>
      </c>
      <c r="AV284" s="225"/>
      <c r="AX284">
        <f t="shared" si="205"/>
        <v>0</v>
      </c>
      <c r="AY284">
        <f t="shared" si="206"/>
        <v>0</v>
      </c>
    </row>
    <row r="285" spans="14:51" x14ac:dyDescent="0.3">
      <c r="N285" s="170">
        <v>67</v>
      </c>
      <c r="O285" s="199">
        <f t="shared" si="207"/>
        <v>4677.3514128719844</v>
      </c>
      <c r="P285" s="189" t="str">
        <f t="shared" si="173"/>
        <v>108.75</v>
      </c>
      <c r="Q285" s="160" t="str">
        <f t="shared" si="174"/>
        <v>1+74.5884334802894i</v>
      </c>
      <c r="R285" s="160">
        <f t="shared" si="182"/>
        <v>74.595136631308321</v>
      </c>
      <c r="S285" s="160">
        <f t="shared" si="183"/>
        <v>1.5573902255433374</v>
      </c>
      <c r="T285" s="160" t="str">
        <f t="shared" si="175"/>
        <v>1+0.00276253457334406i</v>
      </c>
      <c r="U285" s="160">
        <f t="shared" si="184"/>
        <v>1.0000038157913544</v>
      </c>
      <c r="V285" s="160">
        <f t="shared" si="185"/>
        <v>2.7625275458591364E-3</v>
      </c>
      <c r="W285" s="98" t="str">
        <f t="shared" si="176"/>
        <v>1-0.0219435370364918i</v>
      </c>
      <c r="X285" s="160">
        <f t="shared" si="186"/>
        <v>1.0002407304332652</v>
      </c>
      <c r="Y285" s="160">
        <f t="shared" si="187"/>
        <v>-2.1940015978372831E-2</v>
      </c>
      <c r="Z285" s="98" t="str">
        <f t="shared" si="177"/>
        <v>0.999558083752264+0.0423269921043233i</v>
      </c>
      <c r="AA285" s="160">
        <f t="shared" si="188"/>
        <v>1.0004538655305888</v>
      </c>
      <c r="AB285" s="160">
        <f t="shared" si="189"/>
        <v>4.2320421699005947E-2</v>
      </c>
      <c r="AC285" s="171" t="str">
        <f t="shared" si="190"/>
        <v>-0.0700699116262781-1.45587960152881i</v>
      </c>
      <c r="AD285" s="190">
        <f t="shared" si="191"/>
        <v>3.2725575556102076</v>
      </c>
      <c r="AE285" s="169">
        <f t="shared" si="192"/>
        <v>-92.755457677971506</v>
      </c>
      <c r="AF285" s="98" t="str">
        <f t="shared" si="178"/>
        <v>-0.0000366300366300366</v>
      </c>
      <c r="AG285" s="98" t="str">
        <f t="shared" si="179"/>
        <v>0.00202781793149723i</v>
      </c>
      <c r="AH285" s="98">
        <f t="shared" si="193"/>
        <v>2.0278179314972299E-3</v>
      </c>
      <c r="AI285" s="98">
        <f t="shared" si="194"/>
        <v>1.5707963267948966</v>
      </c>
      <c r="AJ285" s="98" t="str">
        <f t="shared" si="180"/>
        <v>1+0.289627429829472i</v>
      </c>
      <c r="AK285" s="98">
        <f t="shared" si="195"/>
        <v>1.0410975209410622</v>
      </c>
      <c r="AL285" s="98">
        <f t="shared" si="196"/>
        <v>0.28191372002479403</v>
      </c>
      <c r="AM285" s="98" t="str">
        <f t="shared" si="181"/>
        <v>1+19.9842926582335i</v>
      </c>
      <c r="AN285" s="98">
        <f t="shared" si="197"/>
        <v>20.009296665548373</v>
      </c>
      <c r="AO285" s="98">
        <f t="shared" si="198"/>
        <v>1.5207987299341206</v>
      </c>
      <c r="AP285" s="168" t="str">
        <f t="shared" si="199"/>
        <v>-0.328226900925585+0.11312728367336i</v>
      </c>
      <c r="AQ285" s="98">
        <f t="shared" si="200"/>
        <v>-9.1890239037348422</v>
      </c>
      <c r="AR285" s="169">
        <f t="shared" si="201"/>
        <v>160.98288236982759</v>
      </c>
      <c r="AS285" s="168" t="str">
        <f t="shared" si="202"/>
        <v>0.187698534617631+0.469932030961064i</v>
      </c>
      <c r="AT285" s="190">
        <f t="shared" si="203"/>
        <v>-5.9164663481246293</v>
      </c>
      <c r="AU285" s="169">
        <f t="shared" si="204"/>
        <v>68.227424691856086</v>
      </c>
      <c r="AV285" s="225"/>
      <c r="AX285">
        <f t="shared" si="205"/>
        <v>0</v>
      </c>
      <c r="AY285">
        <f t="shared" si="206"/>
        <v>0</v>
      </c>
    </row>
    <row r="286" spans="14:51" x14ac:dyDescent="0.3">
      <c r="N286" s="170">
        <v>68</v>
      </c>
      <c r="O286" s="199">
        <f t="shared" si="207"/>
        <v>4786.3009232263848</v>
      </c>
      <c r="P286" s="189" t="str">
        <f t="shared" si="173"/>
        <v>108.75</v>
      </c>
      <c r="Q286" s="160" t="str">
        <f t="shared" si="174"/>
        <v>1+76.3258212855793i</v>
      </c>
      <c r="R286" s="160">
        <f t="shared" si="182"/>
        <v>76.332371867499234</v>
      </c>
      <c r="S286" s="160">
        <f t="shared" si="183"/>
        <v>1.5576953503410353</v>
      </c>
      <c r="T286" s="160" t="str">
        <f t="shared" si="175"/>
        <v>1+0.00282688226983628i</v>
      </c>
      <c r="U286" s="160">
        <f t="shared" si="184"/>
        <v>1.0000039956237012</v>
      </c>
      <c r="V286" s="160">
        <f t="shared" si="185"/>
        <v>2.8268747397521424E-3</v>
      </c>
      <c r="W286" s="98" t="str">
        <f t="shared" si="176"/>
        <v>1-0.0224546676752953i</v>
      </c>
      <c r="X286" s="160">
        <f t="shared" si="186"/>
        <v>1.0002520742794827</v>
      </c>
      <c r="Y286" s="160">
        <f t="shared" si="187"/>
        <v>-2.2450894844896083E-2</v>
      </c>
      <c r="Z286" s="98" t="str">
        <f t="shared" si="177"/>
        <v>0.999537256881148+0.0433129144046768i</v>
      </c>
      <c r="AA286" s="160">
        <f t="shared" si="188"/>
        <v>1.0004752552900631</v>
      </c>
      <c r="AB286" s="160">
        <f t="shared" si="189"/>
        <v>4.3305874185744372E-2</v>
      </c>
      <c r="AC286" s="171" t="str">
        <f t="shared" si="190"/>
        <v>-0.0709458625611073-1.42261036879522i</v>
      </c>
      <c r="AD286" s="190">
        <f t="shared" si="191"/>
        <v>3.0725070495621227</v>
      </c>
      <c r="AE286" s="169">
        <f t="shared" si="192"/>
        <v>-92.854986689765809</v>
      </c>
      <c r="AF286" s="98" t="str">
        <f t="shared" si="178"/>
        <v>-0.0000366300366300366</v>
      </c>
      <c r="AG286" s="98" t="str">
        <f t="shared" si="179"/>
        <v>0.00207505187892237i</v>
      </c>
      <c r="AH286" s="98">
        <f t="shared" si="193"/>
        <v>2.0750518789223698E-3</v>
      </c>
      <c r="AI286" s="98">
        <f t="shared" si="194"/>
        <v>1.5707963267948966</v>
      </c>
      <c r="AJ286" s="98" t="str">
        <f t="shared" si="180"/>
        <v>1+0.296373719316785i</v>
      </c>
      <c r="AK286" s="98">
        <f t="shared" si="195"/>
        <v>1.0429944302352072</v>
      </c>
      <c r="AL286" s="98">
        <f t="shared" si="196"/>
        <v>0.28812662005388984</v>
      </c>
      <c r="AM286" s="98" t="str">
        <f t="shared" si="181"/>
        <v>1+20.4497866328581i</v>
      </c>
      <c r="AN286" s="98">
        <f t="shared" si="197"/>
        <v>20.474222166651945</v>
      </c>
      <c r="AO286" s="98">
        <f t="shared" si="198"/>
        <v>1.5219349826190769</v>
      </c>
      <c r="AP286" s="168" t="str">
        <f t="shared" si="199"/>
        <v>-0.327034084435125+0.114576896300542i</v>
      </c>
      <c r="AQ286" s="98">
        <f t="shared" si="200"/>
        <v>-9.2053236767899076</v>
      </c>
      <c r="AR286" s="169">
        <f t="shared" si="201"/>
        <v>160.69201190293217</v>
      </c>
      <c r="AS286" s="168" t="str">
        <f t="shared" si="202"/>
        <v>0.186199995908658+0.457113322729244i</v>
      </c>
      <c r="AT286" s="190">
        <f t="shared" si="203"/>
        <v>-6.1328166272277782</v>
      </c>
      <c r="AU286" s="169">
        <f t="shared" si="204"/>
        <v>67.837025213166328</v>
      </c>
      <c r="AV286" s="225"/>
      <c r="AX286">
        <f t="shared" si="205"/>
        <v>0</v>
      </c>
      <c r="AY286">
        <f t="shared" si="206"/>
        <v>0</v>
      </c>
    </row>
    <row r="287" spans="14:51" x14ac:dyDescent="0.3">
      <c r="N287" s="170">
        <v>69</v>
      </c>
      <c r="O287" s="199">
        <f t="shared" si="207"/>
        <v>4897.7881936844633</v>
      </c>
      <c r="P287" s="189" t="str">
        <f t="shared" si="173"/>
        <v>108.75</v>
      </c>
      <c r="Q287" s="160" t="str">
        <f t="shared" si="174"/>
        <v>1+78.1036780516067i</v>
      </c>
      <c r="R287" s="160">
        <f t="shared" si="182"/>
        <v>78.11007953644031</v>
      </c>
      <c r="S287" s="160">
        <f t="shared" si="183"/>
        <v>1.5579935320077234</v>
      </c>
      <c r="T287" s="160" t="str">
        <f t="shared" si="175"/>
        <v>1+0.00289272881672618i</v>
      </c>
      <c r="U287" s="160">
        <f t="shared" si="184"/>
        <v>1.000004183931251</v>
      </c>
      <c r="V287" s="160">
        <f t="shared" si="185"/>
        <v>2.8927207480974799E-3</v>
      </c>
      <c r="W287" s="98" t="str">
        <f t="shared" si="176"/>
        <v>1-0.0229777040761229i</v>
      </c>
      <c r="X287" s="160">
        <f t="shared" si="186"/>
        <v>1.0002639526068156</v>
      </c>
      <c r="Y287" s="160">
        <f t="shared" si="187"/>
        <v>-2.2973661473128629E-2</v>
      </c>
      <c r="Z287" s="98" t="str">
        <f t="shared" si="177"/>
        <v>0.999515448469836+0.044321801785562i</v>
      </c>
      <c r="AA287" s="160">
        <f t="shared" si="188"/>
        <v>1.0004976530923879</v>
      </c>
      <c r="AB287" s="160">
        <f t="shared" si="189"/>
        <v>4.4314258164128546E-2</v>
      </c>
      <c r="AC287" s="171" t="str">
        <f t="shared" si="190"/>
        <v>-0.0717820123344882-1.39009439590528i</v>
      </c>
      <c r="AD287" s="190">
        <f t="shared" si="191"/>
        <v>2.8724509290637785</v>
      </c>
      <c r="AE287" s="169">
        <f t="shared" si="192"/>
        <v>-92.956027009977277</v>
      </c>
      <c r="AF287" s="98" t="str">
        <f t="shared" si="178"/>
        <v>-0.0000366300366300366</v>
      </c>
      <c r="AG287" s="98" t="str">
        <f t="shared" si="179"/>
        <v>0.00212338604632027i</v>
      </c>
      <c r="AH287" s="98">
        <f t="shared" si="193"/>
        <v>2.1233860463202702E-3</v>
      </c>
      <c r="AI287" s="98">
        <f t="shared" si="194"/>
        <v>1.5707963267948966</v>
      </c>
      <c r="AJ287" s="98" t="str">
        <f t="shared" si="180"/>
        <v>1+0.30327715007305i</v>
      </c>
      <c r="AK287" s="98">
        <f t="shared" si="195"/>
        <v>1.0449770474782838</v>
      </c>
      <c r="AL287" s="98">
        <f t="shared" si="196"/>
        <v>0.29446063576666626</v>
      </c>
      <c r="AM287" s="98" t="str">
        <f t="shared" si="181"/>
        <v>1+20.9261233550404i</v>
      </c>
      <c r="AN287" s="98">
        <f t="shared" si="197"/>
        <v>20.95000330955504</v>
      </c>
      <c r="AO287" s="98">
        <f t="shared" si="198"/>
        <v>1.5230454930588593</v>
      </c>
      <c r="AP287" s="168" t="str">
        <f t="shared" si="199"/>
        <v>-0.325794309201775+0.116056735989637i</v>
      </c>
      <c r="AQ287" s="98">
        <f t="shared" si="200"/>
        <v>-9.2222852333200649</v>
      </c>
      <c r="AR287" s="169">
        <f t="shared" si="201"/>
        <v>160.39272709652516</v>
      </c>
      <c r="AS287" s="168" t="str">
        <f t="shared" si="202"/>
        <v>0.184715989427881+0.444554057384911i</v>
      </c>
      <c r="AT287" s="190">
        <f t="shared" si="203"/>
        <v>-6.3498343042562846</v>
      </c>
      <c r="AU287" s="169">
        <f t="shared" si="204"/>
        <v>67.436700086547873</v>
      </c>
      <c r="AV287" s="225"/>
      <c r="AX287">
        <f t="shared" si="205"/>
        <v>0</v>
      </c>
      <c r="AY287">
        <f t="shared" si="206"/>
        <v>0</v>
      </c>
    </row>
    <row r="288" spans="14:51" x14ac:dyDescent="0.3">
      <c r="N288" s="170">
        <v>70</v>
      </c>
      <c r="O288" s="199">
        <f t="shared" si="207"/>
        <v>5011.8723362727324</v>
      </c>
      <c r="P288" s="189" t="str">
        <f t="shared" si="173"/>
        <v>108.75</v>
      </c>
      <c r="Q288" s="160" t="str">
        <f t="shared" si="174"/>
        <v>1+79.9229464215614i</v>
      </c>
      <c r="R288" s="160">
        <f t="shared" si="182"/>
        <v>79.929202202347639</v>
      </c>
      <c r="S288" s="160">
        <f t="shared" si="183"/>
        <v>1.5582849284310507</v>
      </c>
      <c r="T288" s="160" t="str">
        <f t="shared" si="175"/>
        <v>1+0.0029601091267245i</v>
      </c>
      <c r="U288" s="160">
        <f t="shared" si="184"/>
        <v>1.000004381113424</v>
      </c>
      <c r="V288" s="160">
        <f t="shared" si="185"/>
        <v>2.9601004810351269E-3</v>
      </c>
      <c r="W288" s="98" t="str">
        <f t="shared" si="176"/>
        <v>1-0.0235129235597975i</v>
      </c>
      <c r="X288" s="160">
        <f t="shared" si="186"/>
        <v>1.000276390591285</v>
      </c>
      <c r="Y288" s="160">
        <f t="shared" si="187"/>
        <v>-2.3508591897287313E-2</v>
      </c>
      <c r="Z288" s="98" t="str">
        <f t="shared" si="177"/>
        <v>0.999492612259763+0.0453541891724223i</v>
      </c>
      <c r="AA288" s="160">
        <f t="shared" si="188"/>
        <v>1.0005211064427042</v>
      </c>
      <c r="AB288" s="160">
        <f t="shared" si="189"/>
        <v>4.5346106158794273E-2</v>
      </c>
      <c r="AC288" s="171" t="str">
        <f t="shared" si="190"/>
        <v>-0.0725801327796355-1.35831451252604i</v>
      </c>
      <c r="AD288" s="190">
        <f t="shared" si="191"/>
        <v>2.6723890753344564</v>
      </c>
      <c r="AE288" s="169">
        <f t="shared" si="192"/>
        <v>-93.058632011707886</v>
      </c>
      <c r="AF288" s="98" t="str">
        <f t="shared" si="178"/>
        <v>-0.0000366300366300366</v>
      </c>
      <c r="AG288" s="98" t="str">
        <f t="shared" si="179"/>
        <v>0.00217284606110628i</v>
      </c>
      <c r="AH288" s="98">
        <f t="shared" si="193"/>
        <v>2.1728460611062802E-3</v>
      </c>
      <c r="AI288" s="98">
        <f t="shared" si="194"/>
        <v>1.5707963267948966</v>
      </c>
      <c r="AJ288" s="98" t="str">
        <f t="shared" si="180"/>
        <v>1+0.310341382388631i</v>
      </c>
      <c r="AK288" s="98">
        <f t="shared" si="195"/>
        <v>1.0470490788988291</v>
      </c>
      <c r="AL288" s="98">
        <f t="shared" si="196"/>
        <v>0.30091709182898579</v>
      </c>
      <c r="AM288" s="98" t="str">
        <f t="shared" si="181"/>
        <v>1+21.4135553848155i</v>
      </c>
      <c r="AN288" s="98">
        <f t="shared" si="197"/>
        <v>21.436892363832985</v>
      </c>
      <c r="AO288" s="98">
        <f t="shared" si="198"/>
        <v>1.5241308390984267</v>
      </c>
      <c r="AP288" s="168" t="str">
        <f t="shared" si="199"/>
        <v>-0.324506140163078+0.11756577513315i</v>
      </c>
      <c r="AQ288" s="98">
        <f t="shared" si="200"/>
        <v>-9.2399363575886486</v>
      </c>
      <c r="AR288" s="169">
        <f t="shared" si="201"/>
        <v>160.08498516092112</v>
      </c>
      <c r="AS288" s="168" t="str">
        <f t="shared" si="202"/>
        <v>0.183243997280574+0.432248460017813i</v>
      </c>
      <c r="AT288" s="190">
        <f t="shared" si="203"/>
        <v>-6.5675472822541989</v>
      </c>
      <c r="AU288" s="169">
        <f t="shared" si="204"/>
        <v>67.026353149213207</v>
      </c>
      <c r="AV288" s="225"/>
      <c r="AX288">
        <f t="shared" si="205"/>
        <v>0</v>
      </c>
      <c r="AY288">
        <f t="shared" si="206"/>
        <v>0</v>
      </c>
    </row>
    <row r="289" spans="14:51" x14ac:dyDescent="0.3">
      <c r="N289" s="170">
        <v>71</v>
      </c>
      <c r="O289" s="199">
        <f t="shared" si="207"/>
        <v>5128.6138399136489</v>
      </c>
      <c r="P289" s="189" t="str">
        <f t="shared" si="173"/>
        <v>108.75</v>
      </c>
      <c r="Q289" s="160" t="str">
        <f t="shared" si="174"/>
        <v>1+81.7845909956136i</v>
      </c>
      <c r="R289" s="160">
        <f t="shared" si="182"/>
        <v>81.790704388211509</v>
      </c>
      <c r="S289" s="160">
        <f t="shared" si="183"/>
        <v>1.5585696939151998</v>
      </c>
      <c r="T289" s="160" t="str">
        <f t="shared" si="175"/>
        <v>1+0.00302905892576348i</v>
      </c>
      <c r="U289" s="160">
        <f t="shared" si="184"/>
        <v>1.0000045875884649</v>
      </c>
      <c r="V289" s="160">
        <f t="shared" si="185"/>
        <v>3.0290496617427047E-3</v>
      </c>
      <c r="W289" s="98" t="str">
        <f t="shared" si="176"/>
        <v>1-0.0240606099067737i</v>
      </c>
      <c r="X289" s="160">
        <f t="shared" si="186"/>
        <v>1.0002894145941392</v>
      </c>
      <c r="Y289" s="160">
        <f t="shared" si="187"/>
        <v>-2.4055968519296679E-2</v>
      </c>
      <c r="Z289" s="98" t="str">
        <f t="shared" si="177"/>
        <v>0.999468699812267+0.0464106239507152i</v>
      </c>
      <c r="AA289" s="160">
        <f t="shared" si="188"/>
        <v>1.0005456650847666</v>
      </c>
      <c r="AB289" s="160">
        <f t="shared" si="189"/>
        <v>4.6401962982863601E-2</v>
      </c>
      <c r="AC289" s="171" t="str">
        <f t="shared" si="190"/>
        <v>-0.0733419152265703-1.32725393404474i</v>
      </c>
      <c r="AD289" s="190">
        <f t="shared" si="191"/>
        <v>2.4723213574640432</v>
      </c>
      <c r="AE289" s="169">
        <f t="shared" si="192"/>
        <v>-93.162855885079736</v>
      </c>
      <c r="AF289" s="98" t="str">
        <f t="shared" si="178"/>
        <v>-0.0000366300366300366</v>
      </c>
      <c r="AG289" s="98" t="str">
        <f t="shared" si="179"/>
        <v>0.00222345814763489i</v>
      </c>
      <c r="AH289" s="98">
        <f t="shared" si="193"/>
        <v>2.2234581476348902E-3</v>
      </c>
      <c r="AI289" s="98">
        <f t="shared" si="194"/>
        <v>1.5707963267948966</v>
      </c>
      <c r="AJ289" s="98" t="str">
        <f t="shared" si="180"/>
        <v>1+0.317570161813007i</v>
      </c>
      <c r="AK289" s="98">
        <f t="shared" si="195"/>
        <v>1.0492143764140573</v>
      </c>
      <c r="AL289" s="98">
        <f t="shared" si="196"/>
        <v>0.30749725760984764</v>
      </c>
      <c r="AM289" s="98" t="str">
        <f t="shared" si="181"/>
        <v>1+21.9123411650974i</v>
      </c>
      <c r="AN289" s="98">
        <f t="shared" si="197"/>
        <v>21.935147488348971</v>
      </c>
      <c r="AO289" s="98">
        <f t="shared" si="198"/>
        <v>1.5251915859687069</v>
      </c>
      <c r="AP289" s="168" t="str">
        <f t="shared" si="199"/>
        <v>-0.32316813467704+0.119102910822967i</v>
      </c>
      <c r="AQ289" s="98">
        <f t="shared" si="200"/>
        <v>-9.2583055990964951</v>
      </c>
      <c r="AR289" s="169">
        <f t="shared" si="201"/>
        <v>159.76874575197999</v>
      </c>
      <c r="AS289" s="168" t="str">
        <f t="shared" si="202"/>
        <v>0.181781576883375+0.420190942519186i</v>
      </c>
      <c r="AT289" s="190">
        <f t="shared" si="203"/>
        <v>-6.7859842416324501</v>
      </c>
      <c r="AU289" s="169">
        <f t="shared" si="204"/>
        <v>66.60588986690027</v>
      </c>
      <c r="AV289" s="225"/>
      <c r="AX289">
        <f t="shared" si="205"/>
        <v>0</v>
      </c>
      <c r="AY289">
        <f t="shared" si="206"/>
        <v>0</v>
      </c>
    </row>
    <row r="290" spans="14:51" x14ac:dyDescent="0.3">
      <c r="N290" s="170">
        <v>72</v>
      </c>
      <c r="O290" s="199">
        <f t="shared" si="207"/>
        <v>5248.0746024977261</v>
      </c>
      <c r="P290" s="189" t="str">
        <f t="shared" si="173"/>
        <v>108.75</v>
      </c>
      <c r="Q290" s="160" t="str">
        <f t="shared" si="174"/>
        <v>1+83.6895988423592i</v>
      </c>
      <c r="R290" s="160">
        <f t="shared" si="182"/>
        <v>83.695573087201041</v>
      </c>
      <c r="S290" s="160">
        <f t="shared" si="183"/>
        <v>1.5588479792617578</v>
      </c>
      <c r="T290" s="160" t="str">
        <f t="shared" si="175"/>
        <v>1+0.00309961477193924i</v>
      </c>
      <c r="U290" s="160">
        <f t="shared" si="184"/>
        <v>1.000004803794329</v>
      </c>
      <c r="V290" s="160">
        <f t="shared" si="185"/>
        <v>3.0996048453647107E-3</v>
      </c>
      <c r="W290" s="98" t="str">
        <f t="shared" si="176"/>
        <v>1-0.0246210535076025i</v>
      </c>
      <c r="X290" s="160">
        <f t="shared" si="186"/>
        <v>1.0003030522175889</v>
      </c>
      <c r="Y290" s="160">
        <f t="shared" si="187"/>
        <v>-2.4616080252690659E-2</v>
      </c>
      <c r="Z290" s="98" t="str">
        <f t="shared" si="177"/>
        <v>0.99944366040584+0.0474916662561443i</v>
      </c>
      <c r="AA290" s="160">
        <f t="shared" si="188"/>
        <v>1.0005713811064201</v>
      </c>
      <c r="AB290" s="160">
        <f t="shared" si="189"/>
        <v>4.7482386015930987E-2</v>
      </c>
      <c r="AC290" s="171" t="str">
        <f t="shared" si="190"/>
        <v>-0.0740689740761671-1.29689625298161i</v>
      </c>
      <c r="AD290" s="190">
        <f t="shared" si="191"/>
        <v>2.2722476321378777</v>
      </c>
      <c r="AE290" s="169">
        <f t="shared" si="192"/>
        <v>-93.26875366495625</v>
      </c>
      <c r="AF290" s="98" t="str">
        <f t="shared" si="178"/>
        <v>-0.0000366300366300366</v>
      </c>
      <c r="AG290" s="98" t="str">
        <f t="shared" si="179"/>
        <v>0.00227524914110433i</v>
      </c>
      <c r="AH290" s="98">
        <f t="shared" si="193"/>
        <v>2.2752491411043301E-3</v>
      </c>
      <c r="AI290" s="98">
        <f t="shared" si="194"/>
        <v>1.5707963267948966</v>
      </c>
      <c r="AJ290" s="98" t="str">
        <f t="shared" si="180"/>
        <v>1+0.324967321140716i</v>
      </c>
      <c r="AK290" s="98">
        <f t="shared" si="195"/>
        <v>1.0514769421196897</v>
      </c>
      <c r="AL290" s="98">
        <f t="shared" si="196"/>
        <v>0.31420234188981894</v>
      </c>
      <c r="AM290" s="98" t="str">
        <f t="shared" si="181"/>
        <v>1+22.4227451587093i</v>
      </c>
      <c r="AN290" s="98">
        <f t="shared" si="197"/>
        <v>22.445032868151952</v>
      </c>
      <c r="AO290" s="98">
        <f t="shared" si="198"/>
        <v>1.5262282865380168</v>
      </c>
      <c r="AP290" s="168" t="str">
        <f t="shared" si="199"/>
        <v>-0.32177884609857+0.120666961537159i</v>
      </c>
      <c r="AQ290" s="98">
        <f t="shared" si="200"/>
        <v>-9.277422277790782</v>
      </c>
      <c r="AR290" s="169">
        <f t="shared" si="201"/>
        <v>159.44397128869846</v>
      </c>
      <c r="AS290" s="168" t="str">
        <f t="shared" si="202"/>
        <v>0.180326359286152+0.408376101748036i</v>
      </c>
      <c r="AT290" s="190">
        <f t="shared" si="203"/>
        <v>-7.0051746456528985</v>
      </c>
      <c r="AU290" s="169">
        <f t="shared" si="204"/>
        <v>66.175217623742171</v>
      </c>
      <c r="AV290" s="225"/>
      <c r="AX290">
        <f t="shared" si="205"/>
        <v>0</v>
      </c>
      <c r="AY290">
        <f t="shared" si="206"/>
        <v>0</v>
      </c>
    </row>
    <row r="291" spans="14:51" x14ac:dyDescent="0.3">
      <c r="N291" s="170">
        <v>73</v>
      </c>
      <c r="O291" s="199">
        <f t="shared" si="207"/>
        <v>5370.3179637025269</v>
      </c>
      <c r="P291" s="189" t="str">
        <f t="shared" si="173"/>
        <v>108.75</v>
      </c>
      <c r="Q291" s="160" t="str">
        <f t="shared" si="174"/>
        <v>1+85.6389800221736i</v>
      </c>
      <c r="R291" s="160">
        <f t="shared" si="182"/>
        <v>85.644818285978332</v>
      </c>
      <c r="S291" s="160">
        <f t="shared" si="183"/>
        <v>1.5591199318487903</v>
      </c>
      <c r="T291" s="160" t="str">
        <f t="shared" si="175"/>
        <v>1+0.00317181407489533i</v>
      </c>
      <c r="U291" s="160">
        <f t="shared" si="184"/>
        <v>1.0000050301896115</v>
      </c>
      <c r="V291" s="160">
        <f t="shared" si="185"/>
        <v>3.1718034383819769E-3</v>
      </c>
      <c r="W291" s="98" t="str">
        <f t="shared" si="176"/>
        <v>1-0.0251945515168991i</v>
      </c>
      <c r="X291" s="160">
        <f t="shared" si="186"/>
        <v>1.0003173323631545</v>
      </c>
      <c r="Y291" s="160">
        <f t="shared" si="187"/>
        <v>-2.5189222669549427E-2</v>
      </c>
      <c r="Z291" s="98" t="str">
        <f t="shared" si="177"/>
        <v>0.999417440928544+0.0485978892716487i</v>
      </c>
      <c r="AA291" s="160">
        <f t="shared" si="188"/>
        <v>1.0005983090500501</v>
      </c>
      <c r="AB291" s="160">
        <f t="shared" si="189"/>
        <v>4.8587945487933278E-2</v>
      </c>
      <c r="AC291" s="171" t="str">
        <f t="shared" si="190"/>
        <v>-0.0747628502122798-1.26722543058236i</v>
      </c>
      <c r="AD291" s="190">
        <f t="shared" si="191"/>
        <v>2.0721677433354535</v>
      </c>
      <c r="AE291" s="169">
        <f t="shared" si="192"/>
        <v>-93.376381259046568</v>
      </c>
      <c r="AF291" s="98" t="str">
        <f t="shared" si="178"/>
        <v>-0.0000366300366300366</v>
      </c>
      <c r="AG291" s="98" t="str">
        <f t="shared" si="179"/>
        <v>0.00232824650178486i</v>
      </c>
      <c r="AH291" s="98">
        <f t="shared" si="193"/>
        <v>2.3282465017848602E-3</v>
      </c>
      <c r="AI291" s="98">
        <f t="shared" si="194"/>
        <v>1.5707963267948966</v>
      </c>
      <c r="AJ291" s="98" t="str">
        <f t="shared" si="180"/>
        <v>1+0.332536782443543i</v>
      </c>
      <c r="AK291" s="98">
        <f t="shared" si="195"/>
        <v>1.0538409328157188</v>
      </c>
      <c r="AL291" s="98">
        <f t="shared" si="196"/>
        <v>0.32103348736458859</v>
      </c>
      <c r="AM291" s="98" t="str">
        <f t="shared" si="181"/>
        <v>1+22.9450379886044i</v>
      </c>
      <c r="AN291" s="98">
        <f t="shared" si="197"/>
        <v>22.966818854567109</v>
      </c>
      <c r="AO291" s="98">
        <f t="shared" si="198"/>
        <v>1.5272414815601121</v>
      </c>
      <c r="AP291" s="168" t="str">
        <f t="shared" si="199"/>
        <v>-0.320336827690989+0.122256663908763i</v>
      </c>
      <c r="AQ291" s="98">
        <f t="shared" si="200"/>
        <v>-9.2973164870850109</v>
      </c>
      <c r="AR291" s="169">
        <f t="shared" si="201"/>
        <v>159.1106272823439</v>
      </c>
      <c r="AS291" s="168" t="str">
        <f t="shared" si="202"/>
        <v>0.178876047829483+0.396798717750837i</v>
      </c>
      <c r="AT291" s="190">
        <f t="shared" si="203"/>
        <v>-7.2251487437495596</v>
      </c>
      <c r="AU291" s="169">
        <f t="shared" si="204"/>
        <v>65.734246023297388</v>
      </c>
      <c r="AV291" s="225"/>
      <c r="AX291">
        <f t="shared" si="205"/>
        <v>0</v>
      </c>
      <c r="AY291">
        <f t="shared" si="206"/>
        <v>0</v>
      </c>
    </row>
    <row r="292" spans="14:51" x14ac:dyDescent="0.3">
      <c r="N292" s="170">
        <v>74</v>
      </c>
      <c r="O292" s="199">
        <f t="shared" si="207"/>
        <v>5495.4087385762541</v>
      </c>
      <c r="P292" s="189" t="str">
        <f t="shared" si="173"/>
        <v>108.75</v>
      </c>
      <c r="Q292" s="160" t="str">
        <f t="shared" si="174"/>
        <v>1+87.6337681227618i</v>
      </c>
      <c r="R292" s="160">
        <f t="shared" si="182"/>
        <v>87.639473500209832</v>
      </c>
      <c r="S292" s="160">
        <f t="shared" si="183"/>
        <v>1.5593856957081613</v>
      </c>
      <c r="T292" s="160" t="str">
        <f t="shared" si="175"/>
        <v>1+0.00324569511565786i</v>
      </c>
      <c r="U292" s="160">
        <f t="shared" si="184"/>
        <v>1.0000052672545199</v>
      </c>
      <c r="V292" s="160">
        <f t="shared" si="185"/>
        <v>3.2456837184317035E-3</v>
      </c>
      <c r="W292" s="98" t="str">
        <f t="shared" si="176"/>
        <v>1-0.0257814080108993i</v>
      </c>
      <c r="X292" s="160">
        <f t="shared" si="186"/>
        <v>1.0003322852927543</v>
      </c>
      <c r="Y292" s="160">
        <f t="shared" si="187"/>
        <v>-2.5775698150523486E-2</v>
      </c>
      <c r="Z292" s="98" t="str">
        <f t="shared" si="177"/>
        <v>0.999389985765352+0.0497298795313142i</v>
      </c>
      <c r="AA292" s="160">
        <f t="shared" si="188"/>
        <v>1.0006265060282331</v>
      </c>
      <c r="AB292" s="160">
        <f t="shared" si="189"/>
        <v>4.9719224769006372E-2</v>
      </c>
      <c r="AC292" s="171" t="str">
        <f t="shared" si="190"/>
        <v>-0.0754250142590903-1.23822578858727i</v>
      </c>
      <c r="AD292" s="190">
        <f t="shared" si="191"/>
        <v>1.872081522002222</v>
      </c>
      <c r="AE292" s="169">
        <f t="shared" si="192"/>
        <v>-93.485795476403354</v>
      </c>
      <c r="AF292" s="98" t="str">
        <f t="shared" si="178"/>
        <v>-0.0000366300366300366</v>
      </c>
      <c r="AG292" s="98" t="str">
        <f t="shared" si="179"/>
        <v>0.00238247832957864i</v>
      </c>
      <c r="AH292" s="98">
        <f t="shared" si="193"/>
        <v>2.3824783295786399E-3</v>
      </c>
      <c r="AI292" s="98">
        <f t="shared" si="194"/>
        <v>1.5707963267948966</v>
      </c>
      <c r="AJ292" s="98" t="str">
        <f t="shared" si="180"/>
        <v>1+0.340282559150068i</v>
      </c>
      <c r="AK292" s="98">
        <f t="shared" si="195"/>
        <v>1.0563106645593046</v>
      </c>
      <c r="AL292" s="98">
        <f t="shared" si="196"/>
        <v>0.32799176494968996</v>
      </c>
      <c r="AM292" s="98" t="str">
        <f t="shared" si="181"/>
        <v>1+23.4794965813546i</v>
      </c>
      <c r="AN292" s="98">
        <f t="shared" si="197"/>
        <v>23.500782108556351</v>
      </c>
      <c r="AO292" s="98">
        <f t="shared" si="198"/>
        <v>1.5282316999187899</v>
      </c>
      <c r="AP292" s="168" t="str">
        <f t="shared" si="199"/>
        <v>-0.318840636883111+0.123870669603695i</v>
      </c>
      <c r="AQ292" s="98">
        <f t="shared" si="200"/>
        <v>-9.3180190945027483</v>
      </c>
      <c r="AR292" s="169">
        <f t="shared" si="201"/>
        <v>158.76868267678572</v>
      </c>
      <c r="AS292" s="168" t="str">
        <f t="shared" si="202"/>
        <v>0.177428417136155+0.385453752017116i</v>
      </c>
      <c r="AT292" s="190">
        <f t="shared" si="203"/>
        <v>-7.4459375725005135</v>
      </c>
      <c r="AU292" s="169">
        <f t="shared" si="204"/>
        <v>65.282887200382334</v>
      </c>
      <c r="AV292" s="225"/>
      <c r="AX292">
        <f t="shared" si="205"/>
        <v>0</v>
      </c>
      <c r="AY292">
        <f t="shared" si="206"/>
        <v>0</v>
      </c>
    </row>
    <row r="293" spans="14:51" x14ac:dyDescent="0.3">
      <c r="N293" s="170">
        <v>75</v>
      </c>
      <c r="O293" s="199">
        <f t="shared" si="207"/>
        <v>5623.4132519034993</v>
      </c>
      <c r="P293" s="189" t="str">
        <f t="shared" si="173"/>
        <v>108.75</v>
      </c>
      <c r="Q293" s="160" t="str">
        <f t="shared" si="174"/>
        <v>1+89.6750208071787i</v>
      </c>
      <c r="R293" s="160">
        <f t="shared" si="182"/>
        <v>89.680596322548681</v>
      </c>
      <c r="S293" s="160">
        <f t="shared" si="183"/>
        <v>1.5596454116011327</v>
      </c>
      <c r="T293" s="160" t="str">
        <f t="shared" si="175"/>
        <v>1+0.00332129706693255i</v>
      </c>
      <c r="U293" s="160">
        <f t="shared" si="184"/>
        <v>1.000005515491893</v>
      </c>
      <c r="V293" s="160">
        <f t="shared" si="185"/>
        <v>3.3212848545883353E-3</v>
      </c>
      <c r="W293" s="98" t="str">
        <f t="shared" si="176"/>
        <v>1-0.0263819341486841i</v>
      </c>
      <c r="X293" s="160">
        <f t="shared" si="186"/>
        <v>1.000347942692654</v>
      </c>
      <c r="Y293" s="160">
        <f t="shared" si="187"/>
        <v>-2.6375816037989042E-2</v>
      </c>
      <c r="Z293" s="98" t="str">
        <f t="shared" si="177"/>
        <v>0.999361236680183+0.0508882372313599i</v>
      </c>
      <c r="AA293" s="160">
        <f t="shared" si="188"/>
        <v>1.0006560318448392</v>
      </c>
      <c r="AB293" s="160">
        <f t="shared" si="189"/>
        <v>5.0876820665415275E-2</v>
      </c>
      <c r="AC293" s="171" t="str">
        <f t="shared" si="190"/>
        <v>-0.0760568696904843-1.20988200117397i</v>
      </c>
      <c r="AD293" s="190">
        <f t="shared" si="191"/>
        <v>1.671988785694879</v>
      </c>
      <c r="AE293" s="169">
        <f t="shared" si="192"/>
        <v>-93.597054056322904</v>
      </c>
      <c r="AF293" s="98" t="str">
        <f t="shared" si="178"/>
        <v>-0.0000366300366300366</v>
      </c>
      <c r="AG293" s="98" t="str">
        <f t="shared" si="179"/>
        <v>0.00243797337891857i</v>
      </c>
      <c r="AH293" s="98">
        <f t="shared" si="193"/>
        <v>2.4379733789185701E-3</v>
      </c>
      <c r="AI293" s="98">
        <f t="shared" si="194"/>
        <v>1.5707963267948966</v>
      </c>
      <c r="AJ293" s="98" t="str">
        <f t="shared" si="180"/>
        <v>1+0.348208758173625i</v>
      </c>
      <c r="AK293" s="98">
        <f t="shared" si="195"/>
        <v>1.0588906172352355</v>
      </c>
      <c r="AL293" s="98">
        <f t="shared" si="196"/>
        <v>0.33507816789419537</v>
      </c>
      <c r="AM293" s="98" t="str">
        <f t="shared" si="181"/>
        <v>1+24.0264043139801i</v>
      </c>
      <c r="AN293" s="98">
        <f t="shared" si="197"/>
        <v>24.047205747421913</v>
      </c>
      <c r="AO293" s="98">
        <f t="shared" si="198"/>
        <v>1.5291994588689772</v>
      </c>
      <c r="AP293" s="168" t="str">
        <f t="shared" si="199"/>
        <v>-0.317288839880786+0.125507542337328i</v>
      </c>
      <c r="AQ293" s="98">
        <f t="shared" si="200"/>
        <v>-9.3395617397513977</v>
      </c>
      <c r="AR293" s="169">
        <f t="shared" si="201"/>
        <v>158.41811019956842</v>
      </c>
      <c r="AS293" s="168" t="str">
        <f t="shared" si="202"/>
        <v>0.175981312434571+0.37433634575241i</v>
      </c>
      <c r="AT293" s="190">
        <f t="shared" si="203"/>
        <v>-7.6675729540565127</v>
      </c>
      <c r="AU293" s="169">
        <f t="shared" si="204"/>
        <v>64.821056143245528</v>
      </c>
      <c r="AV293" s="225"/>
      <c r="AX293">
        <f t="shared" si="205"/>
        <v>0</v>
      </c>
      <c r="AY293">
        <f t="shared" si="206"/>
        <v>0</v>
      </c>
    </row>
    <row r="294" spans="14:51" x14ac:dyDescent="0.3">
      <c r="N294" s="170">
        <v>76</v>
      </c>
      <c r="O294" s="199">
        <f t="shared" si="207"/>
        <v>5754.399373371567</v>
      </c>
      <c r="P294" s="189" t="str">
        <f t="shared" si="173"/>
        <v>108.75</v>
      </c>
      <c r="Q294" s="160" t="str">
        <f t="shared" si="174"/>
        <v>1+91.7638203746166i</v>
      </c>
      <c r="R294" s="160">
        <f t="shared" si="182"/>
        <v>91.769268983385174</v>
      </c>
      <c r="S294" s="160">
        <f t="shared" si="183"/>
        <v>1.5598992170922805</v>
      </c>
      <c r="T294" s="160" t="str">
        <f t="shared" si="175"/>
        <v>1+0.0033986600138747i</v>
      </c>
      <c r="U294" s="160">
        <f t="shared" si="184"/>
        <v>1.0000057754282672</v>
      </c>
      <c r="V294" s="160">
        <f t="shared" si="185"/>
        <v>3.3986469281161932E-3</v>
      </c>
      <c r="W294" s="98" t="str">
        <f t="shared" si="176"/>
        <v>1-0.0269964483371607i</v>
      </c>
      <c r="X294" s="160">
        <f t="shared" si="186"/>
        <v>1.0003643377404159</v>
      </c>
      <c r="Y294" s="160">
        <f t="shared" si="187"/>
        <v>-2.6989892792384621E-2</v>
      </c>
      <c r="Z294" s="98" t="str">
        <f t="shared" si="177"/>
        <v>0.999331132692372+0.0520735765483711i</v>
      </c>
      <c r="AA294" s="160">
        <f t="shared" si="188"/>
        <v>1.0006869491218309</v>
      </c>
      <c r="AB294" s="160">
        <f t="shared" si="189"/>
        <v>5.2061343721657515E-2</v>
      </c>
      <c r="AC294" s="171" t="str">
        <f t="shared" si="190"/>
        <v>-0.0766597557979757-1.18217908707065i</v>
      </c>
      <c r="AD294" s="190">
        <f t="shared" si="191"/>
        <v>1.4718893381980309</v>
      </c>
      <c r="AE294" s="169">
        <f t="shared" si="192"/>
        <v>-93.710215697657944</v>
      </c>
      <c r="AF294" s="98" t="str">
        <f t="shared" si="178"/>
        <v>-0.0000366300366300366</v>
      </c>
      <c r="AG294" s="98" t="str">
        <f t="shared" si="179"/>
        <v>0.0024947610740144i</v>
      </c>
      <c r="AH294" s="98">
        <f t="shared" si="193"/>
        <v>2.4947610740143999E-3</v>
      </c>
      <c r="AI294" s="98">
        <f t="shared" si="194"/>
        <v>1.5707963267948966</v>
      </c>
      <c r="AJ294" s="98" t="str">
        <f t="shared" si="180"/>
        <v>1+0.356319582089854i</v>
      </c>
      <c r="AK294" s="98">
        <f t="shared" si="195"/>
        <v>1.0615854391336987</v>
      </c>
      <c r="AL294" s="98">
        <f t="shared" si="196"/>
        <v>0.342293605713268</v>
      </c>
      <c r="AM294" s="98" t="str">
        <f t="shared" si="181"/>
        <v>1+24.5860511641998i</v>
      </c>
      <c r="AN294" s="98">
        <f t="shared" si="197"/>
        <v>24.606379494932821</v>
      </c>
      <c r="AO294" s="98">
        <f t="shared" si="198"/>
        <v>1.5301452642742526</v>
      </c>
      <c r="AP294" s="168" t="str">
        <f t="shared" si="199"/>
        <v>-0.315680016639817+0.127165755061553i</v>
      </c>
      <c r="AQ294" s="98">
        <f t="shared" si="200"/>
        <v>-9.3619768300289117</v>
      </c>
      <c r="AR294" s="169">
        <f t="shared" si="201"/>
        <v>158.05888672315928</v>
      </c>
      <c r="AS294" s="168" t="str">
        <f t="shared" si="202"/>
        <v>0.174532649211226+0.363441818148823i</v>
      </c>
      <c r="AT294" s="190">
        <f t="shared" si="203"/>
        <v>-7.8900874918308714</v>
      </c>
      <c r="AU294" s="169">
        <f t="shared" si="204"/>
        <v>64.348671025501346</v>
      </c>
      <c r="AV294" s="225"/>
      <c r="AX294">
        <f t="shared" si="205"/>
        <v>0</v>
      </c>
      <c r="AY294">
        <f t="shared" si="206"/>
        <v>0</v>
      </c>
    </row>
    <row r="295" spans="14:51" x14ac:dyDescent="0.3">
      <c r="N295" s="170">
        <v>77</v>
      </c>
      <c r="O295" s="199">
        <f t="shared" si="207"/>
        <v>5888.4365535558973</v>
      </c>
      <c r="P295" s="189" t="str">
        <f t="shared" si="173"/>
        <v>108.75</v>
      </c>
      <c r="Q295" s="160" t="str">
        <f t="shared" si="174"/>
        <v>1+93.9012743342553i</v>
      </c>
      <c r="R295" s="160">
        <f t="shared" si="182"/>
        <v>93.906598924660628</v>
      </c>
      <c r="S295" s="160">
        <f t="shared" si="183"/>
        <v>1.5601472466217652</v>
      </c>
      <c r="T295" s="160" t="str">
        <f t="shared" si="175"/>
        <v>1+0.0034778249753428i</v>
      </c>
      <c r="U295" s="160">
        <f t="shared" si="184"/>
        <v>1.0000060476149928</v>
      </c>
      <c r="V295" s="160">
        <f t="shared" si="185"/>
        <v>3.4778109537045164E-3</v>
      </c>
      <c r="W295" s="98" t="str">
        <f t="shared" si="176"/>
        <v>1-0.0276252763998861i</v>
      </c>
      <c r="X295" s="160">
        <f t="shared" si="186"/>
        <v>1.0003815051749858</v>
      </c>
      <c r="Y295" s="160">
        <f t="shared" si="187"/>
        <v>-2.7618252151774204E-2</v>
      </c>
      <c r="Z295" s="98" t="str">
        <f t="shared" si="177"/>
        <v>0.999299609947325+0.0532865259649437i</v>
      </c>
      <c r="AA295" s="160">
        <f t="shared" si="188"/>
        <v>1.0007193234320442</v>
      </c>
      <c r="AB295" s="160">
        <f t="shared" si="189"/>
        <v>5.327341852882838E-2</v>
      </c>
      <c r="AC295" s="171" t="str">
        <f t="shared" si="190"/>
        <v>-0.0772349505233842-1.15510240183668i</v>
      </c>
      <c r="AD295" s="190">
        <f t="shared" si="191"/>
        <v>1.2717829691116052</v>
      </c>
      <c r="AE295" s="169">
        <f t="shared" si="192"/>
        <v>-93.825340088552153</v>
      </c>
      <c r="AF295" s="98" t="str">
        <f t="shared" si="178"/>
        <v>-0.0000366300366300366</v>
      </c>
      <c r="AG295" s="98" t="str">
        <f t="shared" si="179"/>
        <v>0.00255287152445375i</v>
      </c>
      <c r="AH295" s="98">
        <f t="shared" si="193"/>
        <v>2.5528715244537499E-3</v>
      </c>
      <c r="AI295" s="98">
        <f t="shared" si="194"/>
        <v>1.5707963267948966</v>
      </c>
      <c r="AJ295" s="98" t="str">
        <f t="shared" si="180"/>
        <v>1+0.364619331364955i</v>
      </c>
      <c r="AK295" s="98">
        <f t="shared" si="195"/>
        <v>1.0643999515243445</v>
      </c>
      <c r="AL295" s="98">
        <f t="shared" si="196"/>
        <v>0.34963889795150899</v>
      </c>
      <c r="AM295" s="98" t="str">
        <f t="shared" si="181"/>
        <v>1+25.1587338641818i</v>
      </c>
      <c r="AN295" s="98">
        <f t="shared" si="197"/>
        <v>25.178599834953655</v>
      </c>
      <c r="AO295" s="98">
        <f t="shared" si="198"/>
        <v>1.5310696108407582</v>
      </c>
      <c r="AP295" s="168" t="str">
        <f t="shared" si="199"/>
        <v>-0.314012766204989+0.128843687356442i</v>
      </c>
      <c r="AQ295" s="98">
        <f t="shared" si="200"/>
        <v>-9.3852975323601981</v>
      </c>
      <c r="AR295" s="169">
        <f t="shared" si="201"/>
        <v>157.69099363568611</v>
      </c>
      <c r="AS295" s="168" t="str">
        <f t="shared" si="202"/>
        <v>0.173080413188474+0.352765664632538i</v>
      </c>
      <c r="AT295" s="190">
        <f t="shared" si="203"/>
        <v>-8.113514563248577</v>
      </c>
      <c r="AU295" s="169">
        <f t="shared" si="204"/>
        <v>63.865653547133988</v>
      </c>
      <c r="AV295" s="225"/>
      <c r="AX295">
        <f t="shared" si="205"/>
        <v>0</v>
      </c>
      <c r="AY295">
        <f t="shared" si="206"/>
        <v>0</v>
      </c>
    </row>
    <row r="296" spans="14:51" x14ac:dyDescent="0.3">
      <c r="N296" s="170">
        <v>78</v>
      </c>
      <c r="O296" s="199">
        <f t="shared" si="207"/>
        <v>6025.595860743585</v>
      </c>
      <c r="P296" s="189" t="str">
        <f t="shared" si="173"/>
        <v>108.75</v>
      </c>
      <c r="Q296" s="160" t="str">
        <f t="shared" si="174"/>
        <v>1+96.088515992476i</v>
      </c>
      <c r="R296" s="160">
        <f t="shared" si="182"/>
        <v>96.09371938704588</v>
      </c>
      <c r="S296" s="160">
        <f t="shared" si="183"/>
        <v>1.5603896315759882</v>
      </c>
      <c r="T296" s="160" t="str">
        <f t="shared" si="175"/>
        <v>1+0.00355883392564727i</v>
      </c>
      <c r="U296" s="160">
        <f t="shared" si="184"/>
        <v>1.000006332629404</v>
      </c>
      <c r="V296" s="160">
        <f t="shared" si="185"/>
        <v>3.5588189011962965E-3</v>
      </c>
      <c r="W296" s="98" t="str">
        <f t="shared" si="176"/>
        <v>1-0.0282687517498223i</v>
      </c>
      <c r="X296" s="160">
        <f t="shared" si="186"/>
        <v>1.0003994813700641</v>
      </c>
      <c r="Y296" s="160">
        <f t="shared" si="187"/>
        <v>-2.8261225294682155E-2</v>
      </c>
      <c r="Z296" s="98" t="str">
        <f t="shared" si="177"/>
        <v>0.999266601581073+0.0545277286029133i</v>
      </c>
      <c r="AA296" s="160">
        <f t="shared" si="188"/>
        <v>1.0007532234382162</v>
      </c>
      <c r="AB296" s="160">
        <f t="shared" si="189"/>
        <v>5.4513684039339927E-2</v>
      </c>
      <c r="AC296" s="171" t="str">
        <f t="shared" si="190"/>
        <v>-0.0777836731622223-1.12863763030788i</v>
      </c>
      <c r="AD296" s="190">
        <f t="shared" si="191"/>
        <v>1.0716694534100699</v>
      </c>
      <c r="AE296" s="169">
        <f t="shared" si="192"/>
        <v>-93.942487936605147</v>
      </c>
      <c r="AF296" s="98" t="str">
        <f t="shared" si="178"/>
        <v>-0.0000366300366300366</v>
      </c>
      <c r="AG296" s="98" t="str">
        <f t="shared" si="179"/>
        <v>0.00261233554116661i</v>
      </c>
      <c r="AH296" s="98">
        <f t="shared" si="193"/>
        <v>2.6123355411666101E-3</v>
      </c>
      <c r="AI296" s="98">
        <f t="shared" si="194"/>
        <v>1.5707963267948966</v>
      </c>
      <c r="AJ296" s="98" t="str">
        <f t="shared" si="180"/>
        <v>1+0.373112406635853i</v>
      </c>
      <c r="AK296" s="98">
        <f t="shared" si="195"/>
        <v>1.0673391532149461</v>
      </c>
      <c r="AL296" s="98">
        <f t="shared" si="196"/>
        <v>0.35711476779138102</v>
      </c>
      <c r="AM296" s="98" t="str">
        <f t="shared" si="181"/>
        <v>1+25.7447560578738i</v>
      </c>
      <c r="AN296" s="98">
        <f t="shared" si="197"/>
        <v>25.76417016865534</v>
      </c>
      <c r="AO296" s="98">
        <f t="shared" si="198"/>
        <v>1.5319729823474593</v>
      </c>
      <c r="AP296" s="168" t="str">
        <f t="shared" si="199"/>
        <v>-0.31228571241718+0.130539623062834i</v>
      </c>
      <c r="AQ296" s="98">
        <f t="shared" si="200"/>
        <v>-9.4095577627615103</v>
      </c>
      <c r="AR296" s="169">
        <f t="shared" si="201"/>
        <v>157.31441722033861</v>
      </c>
      <c r="AS296" s="168" t="str">
        <f t="shared" si="202"/>
        <v>0.171622660622811+0.342303555066495i</v>
      </c>
      <c r="AT296" s="190">
        <f t="shared" si="203"/>
        <v>-8.3378883093514347</v>
      </c>
      <c r="AU296" s="169">
        <f t="shared" si="204"/>
        <v>63.371929283733401</v>
      </c>
      <c r="AV296" s="225"/>
      <c r="AX296">
        <f t="shared" si="205"/>
        <v>0</v>
      </c>
      <c r="AY296">
        <f t="shared" si="206"/>
        <v>0</v>
      </c>
    </row>
    <row r="297" spans="14:51" x14ac:dyDescent="0.3">
      <c r="N297" s="170">
        <v>79</v>
      </c>
      <c r="O297" s="199">
        <f t="shared" si="207"/>
        <v>6165.9500186148289</v>
      </c>
      <c r="P297" s="189" t="str">
        <f t="shared" si="173"/>
        <v>108.75</v>
      </c>
      <c r="Q297" s="160" t="str">
        <f t="shared" si="174"/>
        <v>1+98.326705053758i</v>
      </c>
      <c r="R297" s="160">
        <f t="shared" si="182"/>
        <v>98.331790010803303</v>
      </c>
      <c r="S297" s="160">
        <f t="shared" si="183"/>
        <v>1.5606265003566739</v>
      </c>
      <c r="T297" s="160" t="str">
        <f t="shared" si="175"/>
        <v>1+0.00364172981680586i</v>
      </c>
      <c r="U297" s="160">
        <f t="shared" si="184"/>
        <v>1.0000066310760438</v>
      </c>
      <c r="V297" s="160">
        <f t="shared" si="185"/>
        <v>3.6417137178223571E-3</v>
      </c>
      <c r="W297" s="98" t="str">
        <f t="shared" si="176"/>
        <v>1-0.0289272155661175i</v>
      </c>
      <c r="X297" s="160">
        <f t="shared" si="186"/>
        <v>1.0004183044109143</v>
      </c>
      <c r="Y297" s="160">
        <f t="shared" si="187"/>
        <v>-2.8919151006247399E-2</v>
      </c>
      <c r="Z297" s="98" t="str">
        <f t="shared" si="177"/>
        <v>0.999232037578446+0.0557978425643481i</v>
      </c>
      <c r="AA297" s="160">
        <f t="shared" si="188"/>
        <v>1.000788721038566</v>
      </c>
      <c r="AB297" s="160">
        <f t="shared" si="189"/>
        <v>5.5782793888085012E-2</v>
      </c>
      <c r="AC297" s="171" t="str">
        <f t="shared" si="190"/>
        <v>-0.0783070869434497-1.10277077920299i</v>
      </c>
      <c r="AD297" s="190">
        <f t="shared" si="191"/>
        <v>0.87154855096940864</v>
      </c>
      <c r="AE297" s="169">
        <f t="shared" si="192"/>
        <v>-94.061720999478055</v>
      </c>
      <c r="AF297" s="98" t="str">
        <f t="shared" si="178"/>
        <v>-0.0000366300366300366</v>
      </c>
      <c r="AG297" s="98" t="str">
        <f t="shared" si="179"/>
        <v>0.00267318465276174i</v>
      </c>
      <c r="AH297" s="98">
        <f t="shared" si="193"/>
        <v>2.67318465276174E-3</v>
      </c>
      <c r="AI297" s="98">
        <f t="shared" si="194"/>
        <v>1.5707963267948966</v>
      </c>
      <c r="AJ297" s="98" t="str">
        <f t="shared" si="180"/>
        <v>1+0.381803311043476i</v>
      </c>
      <c r="AK297" s="98">
        <f t="shared" si="195"/>
        <v>1.0704082250822633</v>
      </c>
      <c r="AL297" s="98">
        <f t="shared" si="196"/>
        <v>0.36472183552338555</v>
      </c>
      <c r="AM297" s="98" t="str">
        <f t="shared" si="181"/>
        <v>1+26.3444284619998i</v>
      </c>
      <c r="AN297" s="98">
        <f t="shared" si="197"/>
        <v>26.363400975394377</v>
      </c>
      <c r="AO297" s="98">
        <f t="shared" si="198"/>
        <v>1.532855851872734</v>
      </c>
      <c r="AP297" s="168" t="str">
        <f t="shared" si="199"/>
        <v>-0.310497509987657+0.132251748194204i</v>
      </c>
      <c r="AQ297" s="98">
        <f t="shared" si="200"/>
        <v>-9.4347921720278922</v>
      </c>
      <c r="AR297" s="169">
        <f t="shared" si="201"/>
        <v>156.9291490424836</v>
      </c>
      <c r="AS297" s="168" t="str">
        <f t="shared" si="202"/>
        <v>0.170157518917408+0.33205133188541i</v>
      </c>
      <c r="AT297" s="190">
        <f t="shared" si="203"/>
        <v>-8.5632436210584846</v>
      </c>
      <c r="AU297" s="169">
        <f t="shared" si="204"/>
        <v>62.867428043005553</v>
      </c>
      <c r="AV297" s="225"/>
      <c r="AX297">
        <f t="shared" si="205"/>
        <v>0</v>
      </c>
      <c r="AY297">
        <f t="shared" si="206"/>
        <v>0</v>
      </c>
    </row>
    <row r="298" spans="14:51" x14ac:dyDescent="0.3">
      <c r="N298" s="170">
        <v>80</v>
      </c>
      <c r="O298" s="199">
        <f t="shared" si="207"/>
        <v>6309.5734448019384</v>
      </c>
      <c r="P298" s="189" t="str">
        <f t="shared" si="173"/>
        <v>108.75</v>
      </c>
      <c r="Q298" s="160" t="str">
        <f t="shared" si="174"/>
        <v>1+100.617028235567i</v>
      </c>
      <c r="R298" s="160">
        <f t="shared" si="182"/>
        <v>100.62199745064143</v>
      </c>
      <c r="S298" s="160">
        <f t="shared" si="183"/>
        <v>1.5608579784484042</v>
      </c>
      <c r="T298" s="160" t="str">
        <f t="shared" si="175"/>
        <v>1+0.00372655660131731i</v>
      </c>
      <c r="U298" s="160">
        <f t="shared" si="184"/>
        <v>1.0000069435879448</v>
      </c>
      <c r="V298" s="160">
        <f t="shared" si="185"/>
        <v>3.7265393509521606E-3</v>
      </c>
      <c r="W298" s="98" t="str">
        <f t="shared" si="176"/>
        <v>1-0.0296010169750028i</v>
      </c>
      <c r="X298" s="160">
        <f t="shared" si="186"/>
        <v>1.0004380141747686</v>
      </c>
      <c r="Y298" s="160">
        <f t="shared" si="187"/>
        <v>-2.959237584773617E-2</v>
      </c>
      <c r="Z298" s="98" t="str">
        <f t="shared" si="177"/>
        <v>0.999195844624561+0.0570975412804821i</v>
      </c>
      <c r="AA298" s="160">
        <f t="shared" si="188"/>
        <v>1.0008258915192323</v>
      </c>
      <c r="AB298" s="160">
        <f t="shared" si="189"/>
        <v>5.7081416720129431E-2</v>
      </c>
      <c r="AC298" s="171" t="str">
        <f t="shared" si="190"/>
        <v>-0.0788063014910197-1.07748816988874i</v>
      </c>
      <c r="AD298" s="190">
        <f t="shared" si="191"/>
        <v>0.67142000606364305</v>
      </c>
      <c r="AE298" s="169">
        <f t="shared" si="192"/>
        <v>-94.183102115947236</v>
      </c>
      <c r="AF298" s="98" t="str">
        <f t="shared" si="178"/>
        <v>-0.0000366300366300366</v>
      </c>
      <c r="AG298" s="98" t="str">
        <f t="shared" si="179"/>
        <v>0.00273545112224355i</v>
      </c>
      <c r="AH298" s="98">
        <f t="shared" si="193"/>
        <v>2.7354511222435502E-3</v>
      </c>
      <c r="AI298" s="98">
        <f t="shared" si="194"/>
        <v>1.5707963267948966</v>
      </c>
      <c r="AJ298" s="98" t="str">
        <f t="shared" si="180"/>
        <v>1+0.390696652620377i</v>
      </c>
      <c r="AK298" s="98">
        <f t="shared" si="195"/>
        <v>1.0736125345620586</v>
      </c>
      <c r="AL298" s="98">
        <f t="shared" si="196"/>
        <v>0.37246061189721696</v>
      </c>
      <c r="AM298" s="98" t="str">
        <f t="shared" si="181"/>
        <v>1+26.958069030806i</v>
      </c>
      <c r="AN298" s="98">
        <f t="shared" si="197"/>
        <v>26.976609977343365</v>
      </c>
      <c r="AO298" s="98">
        <f t="shared" si="198"/>
        <v>1.5337186820172675</v>
      </c>
      <c r="AP298" s="168" t="str">
        <f t="shared" si="199"/>
        <v>-0.308646850935229+0.133978149168131i</v>
      </c>
      <c r="AQ298" s="98">
        <f t="shared" si="200"/>
        <v>-9.4610361279412594</v>
      </c>
      <c r="AR298" s="169">
        <f t="shared" si="201"/>
        <v>156.53518634338599</v>
      </c>
      <c r="AS298" s="168" t="str">
        <f t="shared" si="202"/>
        <v>0.168683187541306+0.32200500813957i</v>
      </c>
      <c r="AT298" s="190">
        <f t="shared" si="203"/>
        <v>-8.7896161218776143</v>
      </c>
      <c r="AU298" s="169">
        <f t="shared" si="204"/>
        <v>62.352084227438688</v>
      </c>
      <c r="AV298" s="225"/>
      <c r="AX298">
        <f t="shared" si="205"/>
        <v>0</v>
      </c>
      <c r="AY298">
        <f t="shared" si="206"/>
        <v>0</v>
      </c>
    </row>
    <row r="299" spans="14:51" x14ac:dyDescent="0.3">
      <c r="N299" s="170">
        <v>81</v>
      </c>
      <c r="O299" s="199">
        <f t="shared" si="207"/>
        <v>6456.5422903465615</v>
      </c>
      <c r="P299" s="189" t="str">
        <f t="shared" si="173"/>
        <v>108.75</v>
      </c>
      <c r="Q299" s="160" t="str">
        <f t="shared" si="174"/>
        <v>1+102.960699897571i</v>
      </c>
      <c r="R299" s="160">
        <f t="shared" si="182"/>
        <v>102.96555600489746</v>
      </c>
      <c r="S299" s="160">
        <f t="shared" si="183"/>
        <v>1.5610841884846458</v>
      </c>
      <c r="T299" s="160" t="str">
        <f t="shared" si="175"/>
        <v>1+0.00381335925546559i</v>
      </c>
      <c r="U299" s="160">
        <f t="shared" si="184"/>
        <v>1.0000072708279732</v>
      </c>
      <c r="V299" s="160">
        <f t="shared" si="185"/>
        <v>3.8133407713735689E-3</v>
      </c>
      <c r="W299" s="98" t="str">
        <f t="shared" si="176"/>
        <v>1-0.030290513234904i</v>
      </c>
      <c r="X299" s="160">
        <f t="shared" si="186"/>
        <v>1.0004586524149981</v>
      </c>
      <c r="Y299" s="160">
        <f t="shared" si="187"/>
        <v>-3.028125432945911E-2</v>
      </c>
      <c r="Z299" s="98" t="str">
        <f t="shared" si="177"/>
        <v>0.999157945949309+0.0584275138687785i</v>
      </c>
      <c r="AA299" s="160">
        <f t="shared" si="188"/>
        <v>1.0008648137138842</v>
      </c>
      <c r="AB299" s="160">
        <f t="shared" si="189"/>
        <v>5.8410236525021801E-2</v>
      </c>
      <c r="AC299" s="171" t="str">
        <f t="shared" si="190"/>
        <v>-0.0792823751723876-1.05277643130037i</v>
      </c>
      <c r="AD299" s="190">
        <f t="shared" si="191"/>
        <v>0.4712835468285192</v>
      </c>
      <c r="AE299" s="169">
        <f t="shared" si="192"/>
        <v>-94.30669523741534</v>
      </c>
      <c r="AF299" s="98" t="str">
        <f t="shared" si="178"/>
        <v>-0.0000366300366300366</v>
      </c>
      <c r="AG299" s="98" t="str">
        <f t="shared" si="179"/>
        <v>0.00279916796411835i</v>
      </c>
      <c r="AH299" s="98">
        <f t="shared" si="193"/>
        <v>2.7991679641183498E-3</v>
      </c>
      <c r="AI299" s="98">
        <f t="shared" si="194"/>
        <v>1.5707963267948966</v>
      </c>
      <c r="AJ299" s="98" t="str">
        <f t="shared" si="180"/>
        <v>1+0.399797146733981i</v>
      </c>
      <c r="AK299" s="98">
        <f t="shared" si="195"/>
        <v>1.0769576400846192</v>
      </c>
      <c r="AL299" s="98">
        <f t="shared" si="196"/>
        <v>0.38033149137580619</v>
      </c>
      <c r="AM299" s="98" t="str">
        <f t="shared" si="181"/>
        <v>1+27.5860031246446i</v>
      </c>
      <c r="AN299" s="98">
        <f t="shared" si="197"/>
        <v>27.604122307961571</v>
      </c>
      <c r="AO299" s="98">
        <f t="shared" si="198"/>
        <v>1.5345619251232407</v>
      </c>
      <c r="AP299" s="168" t="str">
        <f t="shared" si="199"/>
        <v>-0.306732471378207+0.135716811399325i</v>
      </c>
      <c r="AQ299" s="98">
        <f t="shared" si="200"/>
        <v>-9.4883256936998386</v>
      </c>
      <c r="AR299" s="169">
        <f t="shared" si="201"/>
        <v>156.13253243928244</v>
      </c>
      <c r="AS299" s="168" t="str">
        <f t="shared" si="202"/>
        <v>0.167197939245807+0.31216076542293i</v>
      </c>
      <c r="AT299" s="190">
        <f t="shared" si="203"/>
        <v>-9.0170421468713293</v>
      </c>
      <c r="AU299" s="169">
        <f t="shared" si="204"/>
        <v>61.825837201867117</v>
      </c>
      <c r="AV299" s="225"/>
      <c r="AX299">
        <f t="shared" si="205"/>
        <v>0</v>
      </c>
      <c r="AY299">
        <f t="shared" si="206"/>
        <v>0</v>
      </c>
    </row>
    <row r="300" spans="14:51" x14ac:dyDescent="0.3">
      <c r="N300" s="170">
        <v>82</v>
      </c>
      <c r="O300" s="199">
        <f t="shared" si="207"/>
        <v>6606.9344800759654</v>
      </c>
      <c r="P300" s="189" t="str">
        <f t="shared" si="173"/>
        <v>108.75</v>
      </c>
      <c r="Q300" s="160" t="str">
        <f t="shared" si="174"/>
        <v>1+105.358962685506i</v>
      </c>
      <c r="R300" s="160">
        <f t="shared" si="182"/>
        <v>105.36370825937099</v>
      </c>
      <c r="S300" s="160">
        <f t="shared" si="183"/>
        <v>1.5613052503122977</v>
      </c>
      <c r="T300" s="160" t="str">
        <f t="shared" si="175"/>
        <v>1+0.00390218380316689i</v>
      </c>
      <c r="U300" s="160">
        <f t="shared" si="184"/>
        <v>1.0000076134902343</v>
      </c>
      <c r="V300" s="160">
        <f t="shared" si="185"/>
        <v>3.9021639971135932E-3</v>
      </c>
      <c r="W300" s="98" t="str">
        <f t="shared" si="176"/>
        <v>1-0.0309960699258647i</v>
      </c>
      <c r="X300" s="160">
        <f t="shared" si="186"/>
        <v>1.0004802628492224</v>
      </c>
      <c r="Y300" s="160">
        <f t="shared" si="187"/>
        <v>-3.098614908713148E-2</v>
      </c>
      <c r="Z300" s="98" t="str">
        <f t="shared" si="177"/>
        <v>0.999118261164519+0.0597884654983076i</v>
      </c>
      <c r="AA300" s="160">
        <f t="shared" si="188"/>
        <v>1.0009055701708598</v>
      </c>
      <c r="AB300" s="160">
        <f t="shared" si="189"/>
        <v>5.9769952977797622E-2</v>
      </c>
      <c r="AC300" s="171" t="str">
        <f t="shared" si="190"/>
        <v>-0.0797363173389199-1.02862249301475i</v>
      </c>
      <c r="AD300" s="190">
        <f t="shared" si="191"/>
        <v>0.27113888469188352</v>
      </c>
      <c r="AE300" s="169">
        <f t="shared" si="192"/>
        <v>-94.432565459887698</v>
      </c>
      <c r="AF300" s="98" t="str">
        <f t="shared" si="178"/>
        <v>-0.0000366300366300366</v>
      </c>
      <c r="AG300" s="98" t="str">
        <f t="shared" si="179"/>
        <v>0.00286436896189909i</v>
      </c>
      <c r="AH300" s="98">
        <f t="shared" si="193"/>
        <v>2.8643689618990898E-3</v>
      </c>
      <c r="AI300" s="98">
        <f t="shared" si="194"/>
        <v>1.5707963267948966</v>
      </c>
      <c r="AJ300" s="98" t="str">
        <f t="shared" si="180"/>
        <v>1+0.409109618586723i</v>
      </c>
      <c r="AK300" s="98">
        <f t="shared" si="195"/>
        <v>1.080449295441565</v>
      </c>
      <c r="AL300" s="98">
        <f t="shared" si="196"/>
        <v>0.38833474531689244</v>
      </c>
      <c r="AM300" s="98" t="str">
        <f t="shared" si="181"/>
        <v>1+28.2285636824838i</v>
      </c>
      <c r="AN300" s="98">
        <f t="shared" si="197"/>
        <v>28.246270684393775</v>
      </c>
      <c r="AO300" s="98">
        <f t="shared" si="198"/>
        <v>1.5353860234898067</v>
      </c>
      <c r="AP300" s="168" t="str">
        <f t="shared" si="199"/>
        <v>-0.304753158668979+0.137465618297584i</v>
      </c>
      <c r="AQ300" s="98">
        <f t="shared" si="200"/>
        <v>-9.5166976023755847</v>
      </c>
      <c r="AR300" s="169">
        <f t="shared" si="201"/>
        <v>155.72119712439459</v>
      </c>
      <c r="AS300" s="168" t="str">
        <f t="shared" si="202"/>
        <v>0.165700121566743+0.302514951660438i</v>
      </c>
      <c r="AT300" s="190">
        <f t="shared" si="203"/>
        <v>-9.2455587176836946</v>
      </c>
      <c r="AU300" s="169">
        <f t="shared" si="204"/>
        <v>61.288631664506873</v>
      </c>
      <c r="AV300" s="225"/>
      <c r="AX300">
        <f t="shared" si="205"/>
        <v>0</v>
      </c>
      <c r="AY300">
        <f t="shared" si="206"/>
        <v>0</v>
      </c>
    </row>
    <row r="301" spans="14:51" x14ac:dyDescent="0.3">
      <c r="N301" s="170">
        <v>83</v>
      </c>
      <c r="O301" s="199">
        <f t="shared" si="207"/>
        <v>6760.8297539198229</v>
      </c>
      <c r="P301" s="189" t="str">
        <f t="shared" si="173"/>
        <v>108.75</v>
      </c>
      <c r="Q301" s="160" t="str">
        <f t="shared" si="174"/>
        <v>1+107.813088190047i</v>
      </c>
      <c r="R301" s="160">
        <f t="shared" si="182"/>
        <v>107.81772574616315</v>
      </c>
      <c r="S301" s="160">
        <f t="shared" si="183"/>
        <v>1.5615212810547943</v>
      </c>
      <c r="T301" s="160" t="str">
        <f t="shared" si="175"/>
        <v>1+0.00399307734037214i</v>
      </c>
      <c r="U301" s="160">
        <f t="shared" si="184"/>
        <v>1.0000079723015443</v>
      </c>
      <c r="V301" s="160">
        <f t="shared" si="185"/>
        <v>3.9930561178128099E-3</v>
      </c>
      <c r="W301" s="98" t="str">
        <f t="shared" si="176"/>
        <v>1-0.0317180611433816i</v>
      </c>
      <c r="X301" s="160">
        <f t="shared" si="186"/>
        <v>1.0005028912515421</v>
      </c>
      <c r="Y301" s="160">
        <f t="shared" si="187"/>
        <v>-3.1707431061715627E-2</v>
      </c>
      <c r="Z301" s="98" t="str">
        <f t="shared" si="177"/>
        <v>0.999076706093443+0.0611811177636378i</v>
      </c>
      <c r="AA301" s="160">
        <f t="shared" si="188"/>
        <v>1.0009482473281683</v>
      </c>
      <c r="AB301" s="160">
        <f t="shared" si="189"/>
        <v>6.1161281786761786E-2</v>
      </c>
      <c r="AC301" s="171" t="str">
        <f t="shared" si="190"/>
        <v>-0.0801690904629078-1.00501357847304i</v>
      </c>
      <c r="AD301" s="190">
        <f t="shared" si="191"/>
        <v>7.0985713768282568E-2</v>
      </c>
      <c r="AE301" s="169">
        <f t="shared" si="192"/>
        <v>-94.560779056421893</v>
      </c>
      <c r="AF301" s="98" t="str">
        <f t="shared" si="178"/>
        <v>-0.0000366300366300366</v>
      </c>
      <c r="AG301" s="98" t="str">
        <f t="shared" si="179"/>
        <v>0.00293108868601784i</v>
      </c>
      <c r="AH301" s="98">
        <f t="shared" si="193"/>
        <v>2.9310886860178399E-3</v>
      </c>
      <c r="AI301" s="98">
        <f t="shared" si="194"/>
        <v>1.5707963267948966</v>
      </c>
      <c r="AJ301" s="98" t="str">
        <f t="shared" si="180"/>
        <v>1+0.418639005774445i</v>
      </c>
      <c r="AK301" s="98">
        <f t="shared" si="195"/>
        <v>1.0840934540692586</v>
      </c>
      <c r="AL301" s="98">
        <f t="shared" si="196"/>
        <v>0.39647051510967052</v>
      </c>
      <c r="AM301" s="98" t="str">
        <f t="shared" si="181"/>
        <v>1+28.8860913984366i</v>
      </c>
      <c r="AN301" s="98">
        <f t="shared" si="197"/>
        <v>28.903395583890017</v>
      </c>
      <c r="AO301" s="98">
        <f t="shared" si="198"/>
        <v>1.5361914095848581</v>
      </c>
      <c r="AP301" s="168" t="str">
        <f t="shared" si="199"/>
        <v>-0.302707758854521+0.139222350715144i</v>
      </c>
      <c r="AQ301" s="98">
        <f t="shared" si="200"/>
        <v>-9.5461892272136115</v>
      </c>
      <c r="AR301" s="169">
        <f t="shared" si="201"/>
        <v>155.3011970763034</v>
      </c>
      <c r="AS301" s="168" t="str">
        <f t="shared" si="202"/>
        <v>0.164188158599088+0.293064078728995i</v>
      </c>
      <c r="AT301" s="190">
        <f t="shared" si="203"/>
        <v>-9.4752035134453276</v>
      </c>
      <c r="AU301" s="169">
        <f t="shared" si="204"/>
        <v>60.740418019881446</v>
      </c>
      <c r="AV301" s="225"/>
      <c r="AX301">
        <f t="shared" si="205"/>
        <v>0</v>
      </c>
      <c r="AY301">
        <f t="shared" si="206"/>
        <v>0</v>
      </c>
    </row>
    <row r="302" spans="14:51" x14ac:dyDescent="0.3">
      <c r="N302" s="170">
        <v>84</v>
      </c>
      <c r="O302" s="199">
        <f t="shared" si="207"/>
        <v>6918.3097091893687</v>
      </c>
      <c r="P302" s="189" t="str">
        <f t="shared" si="173"/>
        <v>108.75</v>
      </c>
      <c r="Q302" s="160" t="str">
        <f t="shared" si="174"/>
        <v>1+110.324377621022i</v>
      </c>
      <c r="R302" s="160">
        <f t="shared" si="182"/>
        <v>110.32890961785972</v>
      </c>
      <c r="S302" s="160">
        <f t="shared" si="183"/>
        <v>1.561732395173792</v>
      </c>
      <c r="T302" s="160" t="str">
        <f t="shared" si="175"/>
        <v>1+0.00408608806003788i</v>
      </c>
      <c r="U302" s="160">
        <f t="shared" si="184"/>
        <v>1.0000083480229724</v>
      </c>
      <c r="V302" s="160">
        <f t="shared" si="185"/>
        <v>4.0860653196661042E-3</v>
      </c>
      <c r="W302" s="98" t="str">
        <f t="shared" si="176"/>
        <v>1-0.0324568696967548i</v>
      </c>
      <c r="X302" s="160">
        <f t="shared" si="186"/>
        <v>1.0005265855490857</v>
      </c>
      <c r="Y302" s="160">
        <f t="shared" si="187"/>
        <v>-3.2445479682782614E-2</v>
      </c>
      <c r="Z302" s="98" t="str">
        <f t="shared" si="177"/>
        <v>0.999033192592203+0.0626062090674341i</v>
      </c>
      <c r="AA302" s="160">
        <f t="shared" si="188"/>
        <v>1.0009929356967335</v>
      </c>
      <c r="AB302" s="160">
        <f t="shared" si="189"/>
        <v>6.2584955048120741E-2</v>
      </c>
      <c r="AC302" s="171" t="str">
        <f t="shared" si="190"/>
        <v>-0.0805816121757098-0.981937198350336i</v>
      </c>
      <c r="AD302" s="190">
        <f t="shared" si="191"/>
        <v>-0.12917628978088774</v>
      </c>
      <c r="AE302" s="169">
        <f t="shared" si="192"/>
        <v>-94.69140351005808</v>
      </c>
      <c r="AF302" s="98" t="str">
        <f t="shared" si="178"/>
        <v>-0.0000366300366300366</v>
      </c>
      <c r="AG302" s="98" t="str">
        <f t="shared" si="179"/>
        <v>0.00299936251215546i</v>
      </c>
      <c r="AH302" s="98">
        <f t="shared" si="193"/>
        <v>2.9993625121554602E-3</v>
      </c>
      <c r="AI302" s="98">
        <f t="shared" si="194"/>
        <v>1.5707963267948966</v>
      </c>
      <c r="AJ302" s="98" t="str">
        <f t="shared" si="180"/>
        <v>1+0.428390360904372i</v>
      </c>
      <c r="AK302" s="98">
        <f t="shared" si="195"/>
        <v>1.0878962732337023</v>
      </c>
      <c r="AL302" s="98">
        <f t="shared" si="196"/>
        <v>0.40473880529689926</v>
      </c>
      <c r="AM302" s="98" t="str">
        <f t="shared" si="181"/>
        <v>1+29.5589349024016i</v>
      </c>
      <c r="AN302" s="98">
        <f t="shared" si="197"/>
        <v>29.575845424339363</v>
      </c>
      <c r="AO302" s="98">
        <f t="shared" si="198"/>
        <v>1.5369785062530867</v>
      </c>
      <c r="AP302" s="168" t="str">
        <f t="shared" si="199"/>
        <v>-0.300595184441326+0.140984686888524i</v>
      </c>
      <c r="AQ302" s="98">
        <f t="shared" si="200"/>
        <v>-9.5768385475982338</v>
      </c>
      <c r="AR302" s="169">
        <f t="shared" si="201"/>
        <v>154.87255626194406</v>
      </c>
      <c r="AS302" s="168" t="str">
        <f t="shared" si="202"/>
        <v>0.162660553028154+0.283804819886353i</v>
      </c>
      <c r="AT302" s="190">
        <f t="shared" si="203"/>
        <v>-9.7060148373791204</v>
      </c>
      <c r="AU302" s="169">
        <f t="shared" si="204"/>
        <v>60.181152751885875</v>
      </c>
      <c r="AV302" s="225"/>
      <c r="AX302">
        <f t="shared" si="205"/>
        <v>0</v>
      </c>
      <c r="AY302">
        <f t="shared" si="206"/>
        <v>0</v>
      </c>
    </row>
    <row r="303" spans="14:51" x14ac:dyDescent="0.3">
      <c r="N303" s="170">
        <v>85</v>
      </c>
      <c r="O303" s="199">
        <f t="shared" si="207"/>
        <v>7079.4578438413828</v>
      </c>
      <c r="P303" s="189" t="str">
        <f t="shared" si="173"/>
        <v>108.75</v>
      </c>
      <c r="Q303" s="160" t="str">
        <f t="shared" si="174"/>
        <v>1+112.894162497328i</v>
      </c>
      <c r="R303" s="160">
        <f t="shared" si="182"/>
        <v>112.89859133741705</v>
      </c>
      <c r="S303" s="160">
        <f t="shared" si="183"/>
        <v>1.5619387045294748</v>
      </c>
      <c r="T303" s="160" t="str">
        <f t="shared" si="175"/>
        <v>1+0.00418126527767882i</v>
      </c>
      <c r="U303" s="160">
        <f t="shared" si="184"/>
        <v>1.0000087414514547</v>
      </c>
      <c r="V303" s="160">
        <f t="shared" si="185"/>
        <v>4.1812409109429575E-3</v>
      </c>
      <c r="W303" s="98" t="str">
        <f t="shared" si="176"/>
        <v>1-0.0332128873120588i</v>
      </c>
      <c r="X303" s="160">
        <f t="shared" si="186"/>
        <v>1.0005513959230699</v>
      </c>
      <c r="Y303" s="160">
        <f t="shared" si="187"/>
        <v>-3.3200683055428039E-2</v>
      </c>
      <c r="Z303" s="98" t="str">
        <f t="shared" si="177"/>
        <v>0.998987628362828+0.064064495011969i</v>
      </c>
      <c r="AA303" s="160">
        <f t="shared" si="188"/>
        <v>1.0010397300522724</v>
      </c>
      <c r="AB303" s="160">
        <f t="shared" si="189"/>
        <v>6.4041721607536906E-2</v>
      </c>
      <c r="AC303" s="171" t="str">
        <f t="shared" si="190"/>
        <v>-0.080974757211282-0.959381144069085i</v>
      </c>
      <c r="AD303" s="190">
        <f t="shared" si="191"/>
        <v>-0.32934746842612778</v>
      </c>
      <c r="AE303" s="169">
        <f t="shared" si="192"/>
        <v>-94.824507547236934</v>
      </c>
      <c r="AF303" s="98" t="str">
        <f t="shared" si="178"/>
        <v>-0.0000366300366300366</v>
      </c>
      <c r="AG303" s="98" t="str">
        <f t="shared" si="179"/>
        <v>0.00306922663999828i</v>
      </c>
      <c r="AH303" s="98">
        <f t="shared" si="193"/>
        <v>3.0692266399982801E-3</v>
      </c>
      <c r="AI303" s="98">
        <f t="shared" si="194"/>
        <v>1.5707963267948966</v>
      </c>
      <c r="AJ303" s="98" t="str">
        <f t="shared" si="180"/>
        <v>1+0.438368854274067i</v>
      </c>
      <c r="AK303" s="98">
        <f t="shared" si="195"/>
        <v>1.0918641181014963</v>
      </c>
      <c r="AL303" s="98">
        <f t="shared" si="196"/>
        <v>0.41313947671582646</v>
      </c>
      <c r="AM303" s="98" t="str">
        <f t="shared" si="181"/>
        <v>1+30.2474509449105i</v>
      </c>
      <c r="AN303" s="98">
        <f t="shared" si="197"/>
        <v>30.263976749012468</v>
      </c>
      <c r="AO303" s="98">
        <f t="shared" si="198"/>
        <v>1.537747726920351</v>
      </c>
      <c r="AP303" s="168" t="str">
        <f t="shared" si="199"/>
        <v>-0.298414422437988+0.142750202920162i</v>
      </c>
      <c r="AQ303" s="98">
        <f t="shared" si="200"/>
        <v>-9.6086841105250613</v>
      </c>
      <c r="AR303" s="169">
        <f t="shared" si="201"/>
        <v>154.4353063423118</v>
      </c>
      <c r="AS303" s="168" t="str">
        <f t="shared" si="202"/>
        <v>0.1611158883989+0.274734006981951i</v>
      </c>
      <c r="AT303" s="190">
        <f t="shared" si="203"/>
        <v>-9.9380315789511862</v>
      </c>
      <c r="AU303" s="169">
        <f t="shared" si="204"/>
        <v>59.610798795074899</v>
      </c>
      <c r="AV303" s="225"/>
      <c r="AX303">
        <f t="shared" si="205"/>
        <v>0</v>
      </c>
      <c r="AY303">
        <f t="shared" si="206"/>
        <v>0</v>
      </c>
    </row>
    <row r="304" spans="14:51" x14ac:dyDescent="0.3">
      <c r="N304" s="170">
        <v>86</v>
      </c>
      <c r="O304" s="199">
        <f t="shared" si="207"/>
        <v>7244.3596007499036</v>
      </c>
      <c r="P304" s="189" t="str">
        <f t="shared" si="173"/>
        <v>108.75</v>
      </c>
      <c r="Q304" s="160" t="str">
        <f t="shared" si="174"/>
        <v>1+115.52380535292i</v>
      </c>
      <c r="R304" s="160">
        <f t="shared" si="182"/>
        <v>115.5281333841214</v>
      </c>
      <c r="S304" s="160">
        <f t="shared" si="183"/>
        <v>1.5621403184395035</v>
      </c>
      <c r="T304" s="160" t="str">
        <f t="shared" si="175"/>
        <v>1+0.00427865945751559i</v>
      </c>
      <c r="U304" s="160">
        <f t="shared" si="184"/>
        <v>1.0000091534214841</v>
      </c>
      <c r="V304" s="160">
        <f t="shared" si="185"/>
        <v>4.2786333481006156E-3</v>
      </c>
      <c r="W304" s="98" t="str">
        <f t="shared" si="176"/>
        <v>1-0.0339865148398402i</v>
      </c>
      <c r="X304" s="160">
        <f t="shared" si="186"/>
        <v>1.0005773749145832</v>
      </c>
      <c r="Y304" s="160">
        <f t="shared" si="187"/>
        <v>-3.3973438150772514E-2</v>
      </c>
      <c r="Z304" s="98" t="str">
        <f t="shared" si="177"/>
        <v>0.998939916757481+0.0655567487997534i</v>
      </c>
      <c r="AA304" s="160">
        <f t="shared" si="188"/>
        <v>1.0010887296362081</v>
      </c>
      <c r="AB304" s="160">
        <f t="shared" si="189"/>
        <v>6.5532347428672352E-2</v>
      </c>
      <c r="AC304" s="171" t="str">
        <f t="shared" si="190"/>
        <v>-0.0813493592592261-0.937333481453838i</v>
      </c>
      <c r="AD304" s="190">
        <f t="shared" si="191"/>
        <v>-0.52952818398580526</v>
      </c>
      <c r="AE304" s="169">
        <f t="shared" si="192"/>
        <v>-94.960161171711817</v>
      </c>
      <c r="AF304" s="98" t="str">
        <f t="shared" si="178"/>
        <v>-0.0000366300366300366</v>
      </c>
      <c r="AG304" s="98" t="str">
        <f t="shared" si="179"/>
        <v>0.00314071811243164i</v>
      </c>
      <c r="AH304" s="98">
        <f t="shared" si="193"/>
        <v>3.1407181124316402E-3</v>
      </c>
      <c r="AI304" s="98">
        <f t="shared" si="194"/>
        <v>1.5707963267948966</v>
      </c>
      <c r="AJ304" s="98" t="str">
        <f t="shared" si="180"/>
        <v>1+0.448579776612796i</v>
      </c>
      <c r="AK304" s="98">
        <f t="shared" si="195"/>
        <v>1.0960035656812372</v>
      </c>
      <c r="AL304" s="98">
        <f t="shared" si="196"/>
        <v>0.42167223969421486</v>
      </c>
      <c r="AM304" s="98" t="str">
        <f t="shared" si="181"/>
        <v>1+30.9520045862828i</v>
      </c>
      <c r="AN304" s="98">
        <f t="shared" si="197"/>
        <v>30.968154415613331</v>
      </c>
      <c r="AO304" s="98">
        <f t="shared" si="198"/>
        <v>1.538499475794364</v>
      </c>
      <c r="AP304" s="168" t="str">
        <f t="shared" si="199"/>
        <v>-0.296164542643276+0.14451637384485i</v>
      </c>
      <c r="AQ304" s="98">
        <f t="shared" si="200"/>
        <v>-9.6417649874325928</v>
      </c>
      <c r="AR304" s="169">
        <f t="shared" si="201"/>
        <v>153.98948707379921</v>
      </c>
      <c r="AS304" s="168" t="str">
        <f t="shared" si="202"/>
        <v>0.15955283160241+0.26584862742426i</v>
      </c>
      <c r="AT304" s="190">
        <f t="shared" si="203"/>
        <v>-10.171293171418403</v>
      </c>
      <c r="AU304" s="169">
        <f t="shared" si="204"/>
        <v>59.029325902087372</v>
      </c>
      <c r="AV304" s="225"/>
      <c r="AX304">
        <f t="shared" si="205"/>
        <v>0</v>
      </c>
      <c r="AY304">
        <f t="shared" si="206"/>
        <v>0</v>
      </c>
    </row>
    <row r="305" spans="14:51" x14ac:dyDescent="0.3">
      <c r="N305" s="170">
        <v>87</v>
      </c>
      <c r="O305" s="199">
        <f t="shared" si="207"/>
        <v>7413.1024130091773</v>
      </c>
      <c r="P305" s="189" t="str">
        <f t="shared" si="173"/>
        <v>108.75</v>
      </c>
      <c r="Q305" s="160" t="str">
        <f t="shared" si="174"/>
        <v>1+118.214700459249i</v>
      </c>
      <c r="R305" s="160">
        <f t="shared" si="182"/>
        <v>118.21892997599821</v>
      </c>
      <c r="S305" s="160">
        <f t="shared" si="183"/>
        <v>1.5623373437366421</v>
      </c>
      <c r="T305" s="160" t="str">
        <f t="shared" si="175"/>
        <v>1+0.00437832223923147i</v>
      </c>
      <c r="U305" s="160">
        <f t="shared" si="184"/>
        <v>1.0000095848068811</v>
      </c>
      <c r="V305" s="160">
        <f t="shared" si="185"/>
        <v>4.3782942625037588E-3</v>
      </c>
      <c r="W305" s="98" t="str">
        <f t="shared" si="176"/>
        <v>1-0.0347781624676543i</v>
      </c>
      <c r="X305" s="160">
        <f t="shared" si="186"/>
        <v>1.0006045775353152</v>
      </c>
      <c r="Y305" s="160">
        <f t="shared" si="187"/>
        <v>-3.4764151000077959E-2</v>
      </c>
      <c r="Z305" s="98" t="str">
        <f t="shared" si="177"/>
        <v>0.998889956573448+0.0670837616434973i</v>
      </c>
      <c r="AA305" s="160">
        <f t="shared" si="188"/>
        <v>1.0011400383660354</v>
      </c>
      <c r="AB305" s="160">
        <f t="shared" si="189"/>
        <v>6.705761596878107E-2</v>
      </c>
      <c r="AC305" s="171" t="str">
        <f t="shared" si="190"/>
        <v>-0.0817062127312471-0.915782544524302i</v>
      </c>
      <c r="AD305" s="190">
        <f t="shared" si="191"/>
        <v>-0.72971881838317654</v>
      </c>
      <c r="AE305" s="169">
        <f t="shared" si="192"/>
        <v>-95.098435698961737</v>
      </c>
      <c r="AF305" s="98" t="str">
        <f t="shared" si="178"/>
        <v>-0.0000366300366300366</v>
      </c>
      <c r="AG305" s="98" t="str">
        <f t="shared" si="179"/>
        <v>0.00321387483518054i</v>
      </c>
      <c r="AH305" s="98">
        <f t="shared" si="193"/>
        <v>3.21387483518054E-3</v>
      </c>
      <c r="AI305" s="98">
        <f t="shared" si="194"/>
        <v>1.5707963267948966</v>
      </c>
      <c r="AJ305" s="98" t="str">
        <f t="shared" si="180"/>
        <v>1+0.45902854188674i</v>
      </c>
      <c r="AK305" s="98">
        <f t="shared" si="195"/>
        <v>1.1003214086196209</v>
      </c>
      <c r="AL305" s="98">
        <f t="shared" si="196"/>
        <v>0.43033664734061722</v>
      </c>
      <c r="AM305" s="98" t="str">
        <f t="shared" si="181"/>
        <v>1+31.672969390185i</v>
      </c>
      <c r="AN305" s="98">
        <f t="shared" si="197"/>
        <v>31.688751789737566</v>
      </c>
      <c r="AO305" s="98">
        <f t="shared" si="198"/>
        <v>1.5392341480617215</v>
      </c>
      <c r="AP305" s="168" t="str">
        <f t="shared" si="199"/>
        <v>-0.29384470614171+0.146280575324983i</v>
      </c>
      <c r="AQ305" s="98">
        <f t="shared" si="200"/>
        <v>-9.6761207262690316</v>
      </c>
      <c r="AR305" s="169">
        <f t="shared" si="201"/>
        <v>153.5351467039244</v>
      </c>
      <c r="AS305" s="168" t="str">
        <f t="shared" si="202"/>
        <v>0.157970135555557+0.257145820879499i</v>
      </c>
      <c r="AT305" s="190">
        <f t="shared" si="203"/>
        <v>-10.405839544652203</v>
      </c>
      <c r="AU305" s="169">
        <f t="shared" si="204"/>
        <v>58.436711004962696</v>
      </c>
      <c r="AV305" s="225"/>
      <c r="AX305">
        <f t="shared" si="205"/>
        <v>0</v>
      </c>
      <c r="AY305">
        <f t="shared" si="206"/>
        <v>0</v>
      </c>
    </row>
    <row r="306" spans="14:51" x14ac:dyDescent="0.3">
      <c r="N306" s="170">
        <v>88</v>
      </c>
      <c r="O306" s="199">
        <f t="shared" si="207"/>
        <v>7585.7757502918394</v>
      </c>
      <c r="P306" s="189" t="str">
        <f t="shared" si="173"/>
        <v>108.75</v>
      </c>
      <c r="Q306" s="160" t="str">
        <f t="shared" si="174"/>
        <v>1+120.968274564518i</v>
      </c>
      <c r="R306" s="160">
        <f t="shared" si="182"/>
        <v>120.97240780903971</v>
      </c>
      <c r="S306" s="160">
        <f t="shared" si="183"/>
        <v>1.5625298848250895</v>
      </c>
      <c r="T306" s="160" t="str">
        <f t="shared" si="175"/>
        <v>1+0.00448030646535254i</v>
      </c>
      <c r="U306" s="160">
        <f t="shared" si="184"/>
        <v>1.0000100365226459</v>
      </c>
      <c r="V306" s="160">
        <f t="shared" si="185"/>
        <v>4.48027648776495E-3</v>
      </c>
      <c r="W306" s="98" t="str">
        <f t="shared" si="176"/>
        <v>1-0.0355882499375521i</v>
      </c>
      <c r="X306" s="160">
        <f t="shared" si="186"/>
        <v>1.0006330613834513</v>
      </c>
      <c r="Y306" s="160">
        <f t="shared" si="187"/>
        <v>-3.5573236892504682E-2</v>
      </c>
      <c r="Z306" s="98" t="str">
        <f t="shared" si="177"/>
        <v>0.998837641838481+0.0686463431856233i</v>
      </c>
      <c r="AA306" s="160">
        <f t="shared" si="188"/>
        <v>1.001193765055604</v>
      </c>
      <c r="AB306" s="160">
        <f t="shared" si="189"/>
        <v>6.8618328561409814E-2</v>
      </c>
      <c r="AC306" s="171" t="str">
        <f t="shared" si="190"/>
        <v>-0.0820460744447572-0.894716929424142i</v>
      </c>
      <c r="AD306" s="190">
        <f t="shared" si="191"/>
        <v>-0.92991977444452001</v>
      </c>
      <c r="AE306" s="169">
        <f t="shared" si="192"/>
        <v>-95.239403791109964</v>
      </c>
      <c r="AF306" s="98" t="str">
        <f t="shared" si="178"/>
        <v>-0.0000366300366300366</v>
      </c>
      <c r="AG306" s="98" t="str">
        <f t="shared" si="179"/>
        <v>0.00328873559690771i</v>
      </c>
      <c r="AH306" s="98">
        <f t="shared" si="193"/>
        <v>3.28873559690771E-3</v>
      </c>
      <c r="AI306" s="98">
        <f t="shared" si="194"/>
        <v>1.5707963267948966</v>
      </c>
      <c r="AJ306" s="98" t="str">
        <f t="shared" si="180"/>
        <v>1+0.469720690169554i</v>
      </c>
      <c r="AK306" s="98">
        <f t="shared" si="195"/>
        <v>1.1048246588365787</v>
      </c>
      <c r="AL306" s="98">
        <f t="shared" si="196"/>
        <v>0.43913208897087797</v>
      </c>
      <c r="AM306" s="98" t="str">
        <f t="shared" si="181"/>
        <v>1+32.4107276216991i</v>
      </c>
      <c r="AN306" s="98">
        <f t="shared" si="197"/>
        <v>32.426150942841943</v>
      </c>
      <c r="AO306" s="98">
        <f t="shared" si="198"/>
        <v>1.5399521300812944</v>
      </c>
      <c r="AP306" s="168" t="str">
        <f t="shared" si="199"/>
        <v>-0.29145417396278+0.148040086017097i</v>
      </c>
      <c r="AQ306" s="98">
        <f t="shared" si="200"/>
        <v>-9.7117912986908674</v>
      </c>
      <c r="AR306" s="169">
        <f t="shared" si="201"/>
        <v>153.07234235904457</v>
      </c>
      <c r="AS306" s="168" t="str">
        <f t="shared" si="202"/>
        <v>0.156366642047088+0.248622875677661i</v>
      </c>
      <c r="AT306" s="190">
        <f t="shared" si="203"/>
        <v>-10.641711073135397</v>
      </c>
      <c r="AU306" s="169">
        <f t="shared" si="204"/>
        <v>57.832938567934647</v>
      </c>
      <c r="AV306" s="225"/>
      <c r="AX306">
        <f t="shared" si="205"/>
        <v>0</v>
      </c>
      <c r="AY306">
        <f t="shared" si="206"/>
        <v>0</v>
      </c>
    </row>
    <row r="307" spans="14:51" x14ac:dyDescent="0.3">
      <c r="N307" s="170">
        <v>89</v>
      </c>
      <c r="O307" s="199">
        <f t="shared" si="207"/>
        <v>7762.4711662869322</v>
      </c>
      <c r="P307" s="189" t="str">
        <f t="shared" si="173"/>
        <v>108.75</v>
      </c>
      <c r="Q307" s="160" t="str">
        <f t="shared" si="174"/>
        <v>1+123.785987650166i</v>
      </c>
      <c r="R307" s="160">
        <f t="shared" si="182"/>
        <v>123.79002681366157</v>
      </c>
      <c r="S307" s="160">
        <f t="shared" si="183"/>
        <v>1.5627180437355435</v>
      </c>
      <c r="T307" s="160" t="str">
        <f t="shared" si="175"/>
        <v>1+0.00458466620926542i</v>
      </c>
      <c r="U307" s="160">
        <f t="shared" si="184"/>
        <v>1.0000105095269001</v>
      </c>
      <c r="V307" s="160">
        <f t="shared" si="185"/>
        <v>4.5846340877198251E-3</v>
      </c>
      <c r="W307" s="98" t="str">
        <f t="shared" si="176"/>
        <v>1-0.0364172067686331i</v>
      </c>
      <c r="X307" s="160">
        <f t="shared" si="186"/>
        <v>1.0006628867649832</v>
      </c>
      <c r="Y307" s="160">
        <f t="shared" si="187"/>
        <v>-3.6401120576531824E-2</v>
      </c>
      <c r="Z307" s="98" t="str">
        <f t="shared" si="177"/>
        <v>0.998782861586013+0.070245321927548i</v>
      </c>
      <c r="AA307" s="160">
        <f t="shared" si="188"/>
        <v>1.0012500236457675</v>
      </c>
      <c r="AB307" s="160">
        <f t="shared" si="189"/>
        <v>7.0215304806251183E-2</v>
      </c>
      <c r="AC307" s="171" t="str">
        <f t="shared" si="190"/>
        <v>-0.0823696652271812-0.874125488482755i</v>
      </c>
      <c r="AD307" s="190">
        <f t="shared" si="191"/>
        <v>-1.1301314767408941</v>
      </c>
      <c r="AE307" s="169">
        <f t="shared" si="192"/>
        <v>-95.383139492353806</v>
      </c>
      <c r="AF307" s="98" t="str">
        <f t="shared" si="178"/>
        <v>-0.0000366300366300366</v>
      </c>
      <c r="AG307" s="98" t="str">
        <f t="shared" si="179"/>
        <v>0.00336534008977993i</v>
      </c>
      <c r="AH307" s="98">
        <f t="shared" si="193"/>
        <v>3.3653400897799301E-3</v>
      </c>
      <c r="AI307" s="98">
        <f t="shared" si="194"/>
        <v>1.5707963267948966</v>
      </c>
      <c r="AJ307" s="98" t="str">
        <f t="shared" si="180"/>
        <v>1+0.480661890579784i</v>
      </c>
      <c r="AK307" s="98">
        <f t="shared" si="195"/>
        <v>1.1095205509839519</v>
      </c>
      <c r="AL307" s="98">
        <f t="shared" si="196"/>
        <v>0.44805778371549926</v>
      </c>
      <c r="AM307" s="98" t="str">
        <f t="shared" si="181"/>
        <v>1+33.165670450005i</v>
      </c>
      <c r="AN307" s="98">
        <f t="shared" si="197"/>
        <v>33.180742854829745</v>
      </c>
      <c r="AO307" s="98">
        <f t="shared" si="198"/>
        <v>1.5406537995740126</v>
      </c>
      <c r="AP307" s="168" t="str">
        <f t="shared" si="199"/>
        <v>-0.288992315853854+0.14979209064981i</v>
      </c>
      <c r="AQ307" s="98">
        <f t="shared" si="200"/>
        <v>-9.748817042317329</v>
      </c>
      <c r="AR307" s="169">
        <f t="shared" si="201"/>
        <v>152.60114042150173</v>
      </c>
      <c r="AS307" s="168" t="str">
        <f t="shared" si="202"/>
        <v>0.154741284720228+0.240277224903008i</v>
      </c>
      <c r="AT307" s="190">
        <f t="shared" si="203"/>
        <v>-10.87894851905823</v>
      </c>
      <c r="AU307" s="169">
        <f t="shared" si="204"/>
        <v>57.21800092914787</v>
      </c>
      <c r="AV307" s="225"/>
      <c r="AX307">
        <f t="shared" si="205"/>
        <v>0</v>
      </c>
      <c r="AY307">
        <f t="shared" si="206"/>
        <v>0</v>
      </c>
    </row>
    <row r="308" spans="14:51" x14ac:dyDescent="0.3">
      <c r="N308" s="170">
        <v>90</v>
      </c>
      <c r="O308" s="199">
        <f t="shared" si="207"/>
        <v>7943.2823472428154</v>
      </c>
      <c r="P308" s="189" t="str">
        <f t="shared" si="173"/>
        <v>108.75</v>
      </c>
      <c r="Q308" s="160" t="str">
        <f t="shared" si="174"/>
        <v>1+126.669333704966i</v>
      </c>
      <c r="R308" s="160">
        <f t="shared" si="182"/>
        <v>126.67328092877374</v>
      </c>
      <c r="S308" s="160">
        <f t="shared" si="183"/>
        <v>1.562901920179026</v>
      </c>
      <c r="T308" s="160" t="str">
        <f t="shared" si="175"/>
        <v>1+0.00469145680388766i</v>
      </c>
      <c r="U308" s="160">
        <f t="shared" si="184"/>
        <v>1.0000110048229183</v>
      </c>
      <c r="V308" s="160">
        <f t="shared" si="185"/>
        <v>4.6914223850518973E-3</v>
      </c>
      <c r="W308" s="98" t="str">
        <f t="shared" si="176"/>
        <v>1-0.0372654724847815i</v>
      </c>
      <c r="X308" s="160">
        <f t="shared" si="186"/>
        <v>1.0006941168206767</v>
      </c>
      <c r="Y308" s="160">
        <f t="shared" si="187"/>
        <v>-3.7248236465059675E-2</v>
      </c>
      <c r="Z308" s="98" t="str">
        <f t="shared" si="177"/>
        <v>0.998725499619785+0.0718815456689653i</v>
      </c>
      <c r="AA308" s="160">
        <f t="shared" si="188"/>
        <v>1.0013089334458916</v>
      </c>
      <c r="AB308" s="160">
        <f t="shared" si="189"/>
        <v>7.1849382966196668E-2</v>
      </c>
      <c r="AC308" s="171" t="str">
        <f t="shared" si="190"/>
        <v>-0.0826776714443634-0.853997324407514i</v>
      </c>
      <c r="AD308" s="190">
        <f t="shared" si="191"/>
        <v>-1.3303543724739124</v>
      </c>
      <c r="AE308" s="169">
        <f t="shared" si="192"/>
        <v>-95.529718264909221</v>
      </c>
      <c r="AF308" s="98" t="str">
        <f t="shared" si="178"/>
        <v>-0.0000366300366300366</v>
      </c>
      <c r="AG308" s="98" t="str">
        <f t="shared" si="179"/>
        <v>0.00344372893051328i</v>
      </c>
      <c r="AH308" s="98">
        <f t="shared" si="193"/>
        <v>3.4437289305132802E-3</v>
      </c>
      <c r="AI308" s="98">
        <f t="shared" si="194"/>
        <v>1.5707963267948966</v>
      </c>
      <c r="AJ308" s="98" t="str">
        <f t="shared" si="180"/>
        <v>1+0.491857944286711i</v>
      </c>
      <c r="AK308" s="98">
        <f t="shared" si="195"/>
        <v>1.1144165457125756</v>
      </c>
      <c r="AL308" s="98">
        <f t="shared" si="196"/>
        <v>0.45711277435503156</v>
      </c>
      <c r="AM308" s="98" t="str">
        <f t="shared" si="181"/>
        <v>1+33.9381981557829i</v>
      </c>
      <c r="AN308" s="98">
        <f t="shared" si="197"/>
        <v>33.952927621358164</v>
      </c>
      <c r="AO308" s="98">
        <f t="shared" si="198"/>
        <v>1.5413395258090672</v>
      </c>
      <c r="AP308" s="168" t="str">
        <f t="shared" si="199"/>
        <v>-0.286458619110726+0.151533683850224i</v>
      </c>
      <c r="AQ308" s="98">
        <f t="shared" si="200"/>
        <v>-9.7872385979937526</v>
      </c>
      <c r="AR308" s="169">
        <f t="shared" si="201"/>
        <v>152.12161689349588</v>
      </c>
      <c r="AS308" s="168" t="str">
        <f t="shared" si="202"/>
        <v>0.153093092158948+0.232106442147908i</v>
      </c>
      <c r="AT308" s="190">
        <f t="shared" si="203"/>
        <v>-11.117592970467676</v>
      </c>
      <c r="AU308" s="169">
        <f t="shared" si="204"/>
        <v>56.591898628586634</v>
      </c>
      <c r="AV308" s="225"/>
      <c r="AX308">
        <f t="shared" si="205"/>
        <v>0</v>
      </c>
      <c r="AY308">
        <f t="shared" si="206"/>
        <v>0</v>
      </c>
    </row>
    <row r="309" spans="14:51" x14ac:dyDescent="0.3">
      <c r="N309" s="170">
        <v>91</v>
      </c>
      <c r="O309" s="199">
        <f t="shared" si="207"/>
        <v>8128.3051616410066</v>
      </c>
      <c r="P309" s="189" t="str">
        <f t="shared" si="173"/>
        <v>108.75</v>
      </c>
      <c r="Q309" s="160" t="str">
        <f t="shared" si="174"/>
        <v>1+129.619841517165i</v>
      </c>
      <c r="R309" s="160">
        <f t="shared" si="182"/>
        <v>129.6236988938943</v>
      </c>
      <c r="S309" s="160">
        <f t="shared" si="183"/>
        <v>1.563081611599497</v>
      </c>
      <c r="T309" s="160" t="str">
        <f t="shared" si="175"/>
        <v>1+0.00480073487100612i</v>
      </c>
      <c r="U309" s="160">
        <f t="shared" si="184"/>
        <v>1.0000115234612559</v>
      </c>
      <c r="V309" s="160">
        <f t="shared" si="185"/>
        <v>4.800697990582089E-3</v>
      </c>
      <c r="W309" s="98" t="str">
        <f t="shared" si="176"/>
        <v>1-0.0381334968477082i</v>
      </c>
      <c r="X309" s="160">
        <f t="shared" si="186"/>
        <v>1.0007268176589623</v>
      </c>
      <c r="Y309" s="160">
        <f t="shared" si="187"/>
        <v>-3.8115028844209878E-2</v>
      </c>
      <c r="Z309" s="98" t="str">
        <f t="shared" si="177"/>
        <v>0.998665434267375+0.0735558819573615i</v>
      </c>
      <c r="AA309" s="160">
        <f t="shared" si="188"/>
        <v>1.0013706193867333</v>
      </c>
      <c r="AB309" s="160">
        <f t="shared" si="189"/>
        <v>7.3521420371622404E-2</v>
      </c>
      <c r="AC309" s="171" t="str">
        <f t="shared" si="190"/>
        <v>-0.0829707464563048-0.834321784603665i</v>
      </c>
      <c r="AD309" s="190">
        <f t="shared" si="191"/>
        <v>-1.5305889324095092</v>
      </c>
      <c r="AE309" s="169">
        <f t="shared" si="192"/>
        <v>-95.6792170254746</v>
      </c>
      <c r="AF309" s="98" t="str">
        <f t="shared" si="178"/>
        <v>-0.0000366300366300366</v>
      </c>
      <c r="AG309" s="98" t="str">
        <f t="shared" si="179"/>
        <v>0.00352394368190874i</v>
      </c>
      <c r="AH309" s="98">
        <f t="shared" si="193"/>
        <v>3.5239436819087398E-3</v>
      </c>
      <c r="AI309" s="98">
        <f t="shared" si="194"/>
        <v>1.5707963267948966</v>
      </c>
      <c r="AJ309" s="98" t="str">
        <f t="shared" si="180"/>
        <v>1+0.50331478758621i</v>
      </c>
      <c r="AK309" s="98">
        <f t="shared" si="195"/>
        <v>1.119520332733154</v>
      </c>
      <c r="AL309" s="98">
        <f t="shared" si="196"/>
        <v>0.46629592143291276</v>
      </c>
      <c r="AM309" s="98" t="str">
        <f t="shared" si="181"/>
        <v>1+34.7287203434484i</v>
      </c>
      <c r="AN309" s="98">
        <f t="shared" si="197"/>
        <v>34.743114665980173</v>
      </c>
      <c r="AO309" s="98">
        <f t="shared" si="198"/>
        <v>1.5420096697865695</v>
      </c>
      <c r="AP309" s="168" t="str">
        <f t="shared" si="199"/>
        <v>-0.283852697403692+0.153261874751865i</v>
      </c>
      <c r="AQ309" s="98">
        <f t="shared" si="200"/>
        <v>-9.8270968420507714</v>
      </c>
      <c r="AR309" s="169">
        <f t="shared" si="201"/>
        <v>151.6338577448625</v>
      </c>
      <c r="AS309" s="168" t="str">
        <f t="shared" si="202"/>
        <v>0.151421191041899+0.224108236910957i</v>
      </c>
      <c r="AT309" s="190">
        <f t="shared" si="203"/>
        <v>-11.357685774460302</v>
      </c>
      <c r="AU309" s="169">
        <f t="shared" si="204"/>
        <v>55.954640719387875</v>
      </c>
      <c r="AV309" s="225"/>
      <c r="AX309">
        <f t="shared" si="205"/>
        <v>0</v>
      </c>
      <c r="AY309">
        <f t="shared" si="206"/>
        <v>0</v>
      </c>
    </row>
    <row r="310" spans="14:51" x14ac:dyDescent="0.3">
      <c r="N310" s="170">
        <v>92</v>
      </c>
      <c r="O310" s="199">
        <f t="shared" si="207"/>
        <v>8317.6377110267094</v>
      </c>
      <c r="P310" s="189" t="str">
        <f t="shared" si="173"/>
        <v>108.75</v>
      </c>
      <c r="Q310" s="160" t="str">
        <f t="shared" si="174"/>
        <v>1+132.639075485057i</v>
      </c>
      <c r="R310" s="160">
        <f t="shared" si="182"/>
        <v>132.64284505969647</v>
      </c>
      <c r="S310" s="160">
        <f t="shared" si="183"/>
        <v>1.5632572132252829</v>
      </c>
      <c r="T310" s="160" t="str">
        <f t="shared" si="175"/>
        <v>1+0.00491255835129841i</v>
      </c>
      <c r="U310" s="160">
        <f t="shared" si="184"/>
        <v>1.0000120665419767</v>
      </c>
      <c r="V310" s="160">
        <f t="shared" si="185"/>
        <v>4.9125188332378288E-3</v>
      </c>
      <c r="W310" s="98" t="str">
        <f t="shared" si="176"/>
        <v>1-0.03902174009542i</v>
      </c>
      <c r="X310" s="160">
        <f t="shared" si="186"/>
        <v>1.0007610584950208</v>
      </c>
      <c r="Y310" s="160">
        <f t="shared" si="187"/>
        <v>-3.9001952085831355E-2</v>
      </c>
      <c r="Z310" s="98" t="str">
        <f t="shared" si="177"/>
        <v>0.998602538122118+0.0752692185479982i</v>
      </c>
      <c r="AA310" s="160">
        <f t="shared" si="188"/>
        <v>1.0014352122852295</v>
      </c>
      <c r="AB310" s="160">
        <f t="shared" si="189"/>
        <v>7.5232293831930683E-2</v>
      </c>
      <c r="AC310" s="171" t="str">
        <f t="shared" si="190"/>
        <v>-0.0832495120033273-0.815088455619624i</v>
      </c>
      <c r="AD310" s="190">
        <f t="shared" si="191"/>
        <v>-1.7308356518586046</v>
      </c>
      <c r="AE310" s="169">
        <f t="shared" si="192"/>
        <v>-95.831714182215578</v>
      </c>
      <c r="AF310" s="98" t="str">
        <f t="shared" si="178"/>
        <v>-0.0000366300366300366</v>
      </c>
      <c r="AG310" s="98" t="str">
        <f t="shared" si="179"/>
        <v>0.00360602687488924i</v>
      </c>
      <c r="AH310" s="98">
        <f t="shared" si="193"/>
        <v>3.6060268748892401E-3</v>
      </c>
      <c r="AI310" s="98">
        <f t="shared" si="194"/>
        <v>1.5707963267948966</v>
      </c>
      <c r="AJ310" s="98" t="str">
        <f t="shared" si="180"/>
        <v>1+0.515038495048244i</v>
      </c>
      <c r="AK310" s="98">
        <f t="shared" si="195"/>
        <v>1.1248398336570233</v>
      </c>
      <c r="AL310" s="98">
        <f t="shared" si="196"/>
        <v>0.47560589769717027</v>
      </c>
      <c r="AM310" s="98" t="str">
        <f t="shared" si="181"/>
        <v>1+35.5376561583288i</v>
      </c>
      <c r="AN310" s="98">
        <f t="shared" si="197"/>
        <v>35.551722957229579</v>
      </c>
      <c r="AO310" s="98">
        <f t="shared" si="198"/>
        <v>1.5426645844166926</v>
      </c>
      <c r="AP310" s="168" t="str">
        <f t="shared" si="199"/>
        <v>-0.281174299531124+0.154973592412527i</v>
      </c>
      <c r="AQ310" s="98">
        <f t="shared" si="200"/>
        <v>-9.8684328135821726</v>
      </c>
      <c r="AR310" s="169">
        <f t="shared" si="201"/>
        <v>151.1379592418009</v>
      </c>
      <c r="AS310" s="168" t="str">
        <f t="shared" si="202"/>
        <v>0.149724809325195+0.216280449623008i</v>
      </c>
      <c r="AT310" s="190">
        <f t="shared" si="203"/>
        <v>-11.59926846544078</v>
      </c>
      <c r="AU310" s="169">
        <f t="shared" si="204"/>
        <v>55.306245059585336</v>
      </c>
      <c r="AV310" s="225"/>
      <c r="AX310">
        <f t="shared" si="205"/>
        <v>0</v>
      </c>
      <c r="AY310">
        <f t="shared" si="206"/>
        <v>0</v>
      </c>
    </row>
    <row r="311" spans="14:51" x14ac:dyDescent="0.3">
      <c r="N311" s="170">
        <v>93</v>
      </c>
      <c r="O311" s="199">
        <f t="shared" si="207"/>
        <v>8511.3803820237772</v>
      </c>
      <c r="P311" s="189" t="str">
        <f t="shared" si="173"/>
        <v>108.75</v>
      </c>
      <c r="Q311" s="160" t="str">
        <f t="shared" si="174"/>
        <v>1+135.728636446457i</v>
      </c>
      <c r="R311" s="160">
        <f t="shared" si="182"/>
        <v>135.73232021745775</v>
      </c>
      <c r="S311" s="160">
        <f t="shared" si="183"/>
        <v>1.5634288181193468</v>
      </c>
      <c r="T311" s="160" t="str">
        <f t="shared" si="175"/>
        <v>1+0.00502698653505396i</v>
      </c>
      <c r="U311" s="160">
        <f t="shared" si="184"/>
        <v>1.0000126352169876</v>
      </c>
      <c r="V311" s="160">
        <f t="shared" si="185"/>
        <v>5.0269441907180388E-3</v>
      </c>
      <c r="W311" s="98" t="str">
        <f t="shared" si="176"/>
        <v>1-0.0399306731862443i</v>
      </c>
      <c r="X311" s="160">
        <f t="shared" si="186"/>
        <v>1.0007969117963478</v>
      </c>
      <c r="Y311" s="160">
        <f t="shared" si="187"/>
        <v>-3.9909470863718655E-2</v>
      </c>
      <c r="Z311" s="98" t="str">
        <f t="shared" si="177"/>
        <v>0.998536677772857+0.0770224638746152i</v>
      </c>
      <c r="AA311" s="160">
        <f t="shared" si="188"/>
        <v>1.0015028491217439</v>
      </c>
      <c r="AB311" s="160">
        <f t="shared" si="189"/>
        <v>7.6982900054373291E-2</v>
      </c>
      <c r="AC311" s="171" t="str">
        <f t="shared" si="190"/>
        <v>-0.0835145595255961-0.796287157714884i</v>
      </c>
      <c r="AD311" s="190">
        <f t="shared" si="191"/>
        <v>-1.9310950517094794</v>
      </c>
      <c r="AE311" s="169">
        <f t="shared" si="192"/>
        <v>-95.987289672273434</v>
      </c>
      <c r="AF311" s="98" t="str">
        <f t="shared" si="178"/>
        <v>-0.0000366300366300366</v>
      </c>
      <c r="AG311" s="98" t="str">
        <f t="shared" si="179"/>
        <v>0.00369002203105024i</v>
      </c>
      <c r="AH311" s="98">
        <f t="shared" si="193"/>
        <v>3.6900220310502399E-3</v>
      </c>
      <c r="AI311" s="98">
        <f t="shared" si="194"/>
        <v>1.5707963267948966</v>
      </c>
      <c r="AJ311" s="98" t="str">
        <f t="shared" si="180"/>
        <v>1+0.527035282737695i</v>
      </c>
      <c r="AK311" s="98">
        <f t="shared" si="195"/>
        <v>1.1303832046038202</v>
      </c>
      <c r="AL311" s="98">
        <f t="shared" si="196"/>
        <v>0.48504118292409154</v>
      </c>
      <c r="AM311" s="98" t="str">
        <f t="shared" si="181"/>
        <v>1+36.3654345089009i</v>
      </c>
      <c r="AN311" s="98">
        <f t="shared" si="197"/>
        <v>36.379181230769341</v>
      </c>
      <c r="AO311" s="98">
        <f t="shared" si="198"/>
        <v>1.5433046146953449</v>
      </c>
      <c r="AP311" s="168" t="str">
        <f t="shared" si="199"/>
        <v>-0.278423318026913+0.156665692064628i</v>
      </c>
      <c r="AQ311" s="98">
        <f t="shared" si="200"/>
        <v>-9.9112876368039622</v>
      </c>
      <c r="AR311" s="169">
        <f t="shared" si="201"/>
        <v>150.63402825352364</v>
      </c>
      <c r="AS311" s="168" t="str">
        <f t="shared" si="202"/>
        <v>0.14800327941225+0.208621046287648i</v>
      </c>
      <c r="AT311" s="190">
        <f t="shared" si="203"/>
        <v>-11.842382688513446</v>
      </c>
      <c r="AU311" s="169">
        <f t="shared" si="204"/>
        <v>54.646738581250325</v>
      </c>
      <c r="AV311" s="225"/>
      <c r="AX311">
        <f t="shared" si="205"/>
        <v>0</v>
      </c>
      <c r="AY311">
        <f t="shared" si="206"/>
        <v>0</v>
      </c>
    </row>
    <row r="312" spans="14:51" x14ac:dyDescent="0.3">
      <c r="N312" s="170">
        <v>94</v>
      </c>
      <c r="O312" s="199">
        <f t="shared" si="207"/>
        <v>8709.6358995608189</v>
      </c>
      <c r="P312" s="189" t="str">
        <f t="shared" si="173"/>
        <v>108.75</v>
      </c>
      <c r="Q312" s="160" t="str">
        <f t="shared" si="174"/>
        <v>1+138.890162527481i</v>
      </c>
      <c r="R312" s="160">
        <f t="shared" si="182"/>
        <v>138.89376244781508</v>
      </c>
      <c r="S312" s="160">
        <f t="shared" si="183"/>
        <v>1.5635965172284236</v>
      </c>
      <c r="T312" s="160" t="str">
        <f t="shared" si="175"/>
        <v>1+0.00514408009361043i</v>
      </c>
      <c r="U312" s="160">
        <f t="shared" si="184"/>
        <v>1.0000132306924792</v>
      </c>
      <c r="V312" s="160">
        <f t="shared" si="185"/>
        <v>5.1440347208694445E-3</v>
      </c>
      <c r="W312" s="98" t="str">
        <f t="shared" si="176"/>
        <v>1-0.0408607780485368i</v>
      </c>
      <c r="X312" s="160">
        <f t="shared" si="186"/>
        <v>1.0008344534350981</v>
      </c>
      <c r="Y312" s="160">
        <f t="shared" si="187"/>
        <v>-4.0838060373539972E-2</v>
      </c>
      <c r="Z312" s="98" t="str">
        <f t="shared" si="177"/>
        <v>0.998467713520961+0.0788165475310913i</v>
      </c>
      <c r="AA312" s="160">
        <f t="shared" si="188"/>
        <v>1.0015736733303731</v>
      </c>
      <c r="AB312" s="160">
        <f t="shared" si="189"/>
        <v>7.8774156070151369E-2</v>
      </c>
      <c r="AC312" s="171" t="str">
        <f t="shared" si="190"/>
        <v>-0.0837664514188133-0.777907939548298i</v>
      </c>
      <c r="AD312" s="190">
        <f t="shared" si="191"/>
        <v>-2.1313676795116256</v>
      </c>
      <c r="AE312" s="169">
        <f t="shared" si="192"/>
        <v>-96.146024999797405</v>
      </c>
      <c r="AF312" s="98" t="str">
        <f t="shared" si="178"/>
        <v>-0.0000366300366300366</v>
      </c>
      <c r="AG312" s="98" t="str">
        <f t="shared" si="179"/>
        <v>0.0037759736857353i</v>
      </c>
      <c r="AH312" s="98">
        <f t="shared" si="193"/>
        <v>3.7759736857352999E-3</v>
      </c>
      <c r="AI312" s="98">
        <f t="shared" si="194"/>
        <v>1.5707963267948966</v>
      </c>
      <c r="AJ312" s="98" t="str">
        <f t="shared" si="180"/>
        <v>1+0.539311511510189i</v>
      </c>
      <c r="AK312" s="98">
        <f t="shared" si="195"/>
        <v>1.1361588385641352</v>
      </c>
      <c r="AL312" s="98">
        <f t="shared" si="196"/>
        <v>0.49460005917816519</v>
      </c>
      <c r="AM312" s="98" t="str">
        <f t="shared" si="181"/>
        <v>1+37.2124942942029i</v>
      </c>
      <c r="AN312" s="98">
        <f t="shared" si="197"/>
        <v>37.225928216715879</v>
      </c>
      <c r="AO312" s="98">
        <f t="shared" si="198"/>
        <v>1.5439300978764006</v>
      </c>
      <c r="AP312" s="168" t="str">
        <f t="shared" si="199"/>
        <v>-0.275599797542855+0.158334962214175i</v>
      </c>
      <c r="AQ312" s="98">
        <f t="shared" si="200"/>
        <v>-9.9557024386006141</v>
      </c>
      <c r="AR312" s="169">
        <f t="shared" si="201"/>
        <v>150.1221825337083</v>
      </c>
      <c r="AS312" s="168" t="str">
        <f t="shared" si="202"/>
        <v>0.146256041266395+0.201128112726277i</v>
      </c>
      <c r="AT312" s="190">
        <f t="shared" si="203"/>
        <v>-12.087070118112241</v>
      </c>
      <c r="AU312" s="169">
        <f t="shared" si="204"/>
        <v>53.976157533910857</v>
      </c>
      <c r="AV312" s="225"/>
      <c r="AX312">
        <f t="shared" si="205"/>
        <v>0</v>
      </c>
      <c r="AY312">
        <f t="shared" si="206"/>
        <v>0</v>
      </c>
    </row>
    <row r="313" spans="14:51" x14ac:dyDescent="0.3">
      <c r="N313" s="170">
        <v>95</v>
      </c>
      <c r="O313" s="199">
        <f t="shared" si="207"/>
        <v>8912.5093813374679</v>
      </c>
      <c r="P313" s="189" t="str">
        <f t="shared" si="173"/>
        <v>108.75</v>
      </c>
      <c r="Q313" s="160" t="str">
        <f t="shared" si="174"/>
        <v>1+142.125330011106i</v>
      </c>
      <c r="R313" s="160">
        <f t="shared" si="182"/>
        <v>142.12884798930085</v>
      </c>
      <c r="S313" s="160">
        <f t="shared" si="183"/>
        <v>1.5637603994310496</v>
      </c>
      <c r="T313" s="160" t="str">
        <f t="shared" si="175"/>
        <v>1+0.00526390111152247i</v>
      </c>
      <c r="U313" s="160">
        <f t="shared" si="184"/>
        <v>1.000013854231486</v>
      </c>
      <c r="V313" s="160">
        <f t="shared" si="185"/>
        <v>5.2638524937909503E-3</v>
      </c>
      <c r="W313" s="98" t="str">
        <f t="shared" si="176"/>
        <v>1-0.0418125478362069i</v>
      </c>
      <c r="X313" s="160">
        <f t="shared" si="186"/>
        <v>1.0008737628475206</v>
      </c>
      <c r="Y313" s="160">
        <f t="shared" si="187"/>
        <v>-4.1788206556470364E-2</v>
      </c>
      <c r="Z313" s="98" t="str">
        <f t="shared" si="177"/>
        <v>0.998395499084006+0.0806524207643287i</v>
      </c>
      <c r="AA313" s="160">
        <f t="shared" si="188"/>
        <v>1.0016478351029108</v>
      </c>
      <c r="AB313" s="160">
        <f t="shared" si="189"/>
        <v>8.0606999667797941E-2</v>
      </c>
      <c r="AC313" s="171" t="str">
        <f t="shared" si="190"/>
        <v>-0.084005722228747-0.759941072984124i</v>
      </c>
      <c r="AD313" s="190">
        <f t="shared" si="191"/>
        <v>-2.3316541106152808</v>
      </c>
      <c r="AE313" s="169">
        <f t="shared" si="192"/>
        <v>-96.308003274501232</v>
      </c>
      <c r="AF313" s="98" t="str">
        <f t="shared" si="178"/>
        <v>-0.0000366300366300366</v>
      </c>
      <c r="AG313" s="98" t="str">
        <f t="shared" si="179"/>
        <v>0.00386392741164947i</v>
      </c>
      <c r="AH313" s="98">
        <f t="shared" si="193"/>
        <v>3.8639274116494698E-3</v>
      </c>
      <c r="AI313" s="98">
        <f t="shared" si="194"/>
        <v>1.5707963267948966</v>
      </c>
      <c r="AJ313" s="98" t="str">
        <f t="shared" si="180"/>
        <v>1+0.551873690384718i</v>
      </c>
      <c r="AK313" s="98">
        <f t="shared" si="195"/>
        <v>1.1421753675066046</v>
      </c>
      <c r="AL313" s="98">
        <f t="shared" si="196"/>
        <v>0.50428060656347973</v>
      </c>
      <c r="AM313" s="98" t="str">
        <f t="shared" si="181"/>
        <v>1+38.0792846365454i</v>
      </c>
      <c r="AN313" s="98">
        <f t="shared" si="197"/>
        <v>38.092412872264241</v>
      </c>
      <c r="AO313" s="98">
        <f t="shared" si="198"/>
        <v>1.544541363640543</v>
      </c>
      <c r="AP313" s="168" t="str">
        <f t="shared" si="199"/>
        <v>-0.272703942922378+0.15997813259691i</v>
      </c>
      <c r="AQ313" s="98">
        <f t="shared" si="200"/>
        <v>-10.001718261409891</v>
      </c>
      <c r="AR313" s="169">
        <f t="shared" si="201"/>
        <v>149.60255097359956</v>
      </c>
      <c r="AS313" s="168" t="str">
        <f t="shared" si="202"/>
        <v>0.144482645419514+0.193799848421824i</v>
      </c>
      <c r="AT313" s="190">
        <f t="shared" si="203"/>
        <v>-12.333372372025151</v>
      </c>
      <c r="AU313" s="169">
        <f t="shared" si="204"/>
        <v>53.294547699098302</v>
      </c>
      <c r="AV313" s="225"/>
      <c r="AX313">
        <f t="shared" si="205"/>
        <v>0</v>
      </c>
      <c r="AY313">
        <f t="shared" si="206"/>
        <v>0</v>
      </c>
    </row>
    <row r="314" spans="14:51" x14ac:dyDescent="0.3">
      <c r="N314" s="170">
        <v>96</v>
      </c>
      <c r="O314" s="199">
        <f t="shared" si="207"/>
        <v>9120.1083935591087</v>
      </c>
      <c r="P314" s="189" t="str">
        <f t="shared" si="173"/>
        <v>108.75</v>
      </c>
      <c r="Q314" s="160" t="str">
        <f t="shared" si="174"/>
        <v>1+145.435854225955i</v>
      </c>
      <c r="R314" s="160">
        <f t="shared" si="182"/>
        <v>145.43929212710449</v>
      </c>
      <c r="S314" s="160">
        <f t="shared" si="183"/>
        <v>1.5639205515845063</v>
      </c>
      <c r="T314" s="160" t="str">
        <f t="shared" si="175"/>
        <v>1+0.00538651311947982i</v>
      </c>
      <c r="U314" s="160">
        <f t="shared" si="184"/>
        <v>1.0000145071565645</v>
      </c>
      <c r="V314" s="160">
        <f t="shared" si="185"/>
        <v>5.3864610246827363E-3</v>
      </c>
      <c r="W314" s="98" t="str">
        <f t="shared" si="176"/>
        <v>1-0.0427864871901943i</v>
      </c>
      <c r="X314" s="160">
        <f t="shared" si="186"/>
        <v>1.0009149232008065</v>
      </c>
      <c r="Y314" s="160">
        <f t="shared" si="187"/>
        <v>-4.2760406326514677E-2</v>
      </c>
      <c r="Z314" s="98" t="str">
        <f t="shared" si="177"/>
        <v>0.998319881285489+0.0825310569786163i</v>
      </c>
      <c r="AA314" s="160">
        <f t="shared" si="188"/>
        <v>1.0017254917071245</v>
      </c>
      <c r="AB314" s="160">
        <f t="shared" si="189"/>
        <v>8.2482389833820682E-2</v>
      </c>
      <c r="AC314" s="171" t="str">
        <f t="shared" si="190"/>
        <v>-0.0842328797871567-0.742377048013696i</v>
      </c>
      <c r="AD314" s="190">
        <f t="shared" si="191"/>
        <v>-2.5319549493664568</v>
      </c>
      <c r="AE314" s="169">
        <f t="shared" si="192"/>
        <v>-96.473309250742403</v>
      </c>
      <c r="AF314" s="98" t="str">
        <f t="shared" si="178"/>
        <v>-0.0000366300366300366</v>
      </c>
      <c r="AG314" s="98" t="str">
        <f t="shared" si="179"/>
        <v>0.00395392984302241i</v>
      </c>
      <c r="AH314" s="98">
        <f t="shared" si="193"/>
        <v>3.9539298430224098E-3</v>
      </c>
      <c r="AI314" s="98">
        <f t="shared" si="194"/>
        <v>1.5707963267948966</v>
      </c>
      <c r="AJ314" s="98" t="str">
        <f t="shared" si="180"/>
        <v>1+0.5647284799948i</v>
      </c>
      <c r="AK314" s="98">
        <f t="shared" si="195"/>
        <v>1.1484416642203632</v>
      </c>
      <c r="AL314" s="98">
        <f t="shared" si="196"/>
        <v>0.51408069952198332</v>
      </c>
      <c r="AM314" s="98" t="str">
        <f t="shared" si="181"/>
        <v>1+38.9662651196411i</v>
      </c>
      <c r="AN314" s="98">
        <f t="shared" si="197"/>
        <v>38.979094619733779</v>
      </c>
      <c r="AO314" s="98">
        <f t="shared" si="198"/>
        <v>1.5451387342607497</v>
      </c>
      <c r="AP314" s="168" t="str">
        <f t="shared" si="199"/>
        <v>-0.269736126877964+0.161591882991925i</v>
      </c>
      <c r="AQ314" s="98">
        <f t="shared" si="200"/>
        <v>-10.049375971645176</v>
      </c>
      <c r="AR314" s="169">
        <f t="shared" si="201"/>
        <v>149.07527382358447</v>
      </c>
      <c r="AS314" s="168" t="str">
        <f t="shared" si="202"/>
        <v>0.142682755828085+0.186634559959672i</v>
      </c>
      <c r="AT314" s="190">
        <f t="shared" si="203"/>
        <v>-12.581330921011611</v>
      </c>
      <c r="AU314" s="169">
        <f t="shared" si="204"/>
        <v>52.601964572842057</v>
      </c>
      <c r="AV314" s="225"/>
      <c r="AX314">
        <f t="shared" si="205"/>
        <v>0</v>
      </c>
      <c r="AY314">
        <f t="shared" si="206"/>
        <v>0</v>
      </c>
    </row>
    <row r="315" spans="14:51" x14ac:dyDescent="0.3">
      <c r="N315" s="170">
        <v>97</v>
      </c>
      <c r="O315" s="199">
        <f t="shared" si="207"/>
        <v>9332.5430079699217</v>
      </c>
      <c r="P315" s="189" t="str">
        <f t="shared" si="173"/>
        <v>108.75</v>
      </c>
      <c r="Q315" s="160" t="str">
        <f t="shared" si="174"/>
        <v>1+148.823490455785i</v>
      </c>
      <c r="R315" s="160">
        <f t="shared" si="182"/>
        <v>148.82685010253738</v>
      </c>
      <c r="S315" s="160">
        <f t="shared" si="183"/>
        <v>1.5640770585707047</v>
      </c>
      <c r="T315" s="160" t="str">
        <f t="shared" si="175"/>
        <v>1+0.00551198112799204i</v>
      </c>
      <c r="U315" s="160">
        <f t="shared" si="184"/>
        <v>1.0000151908525967</v>
      </c>
      <c r="V315" s="160">
        <f t="shared" si="185"/>
        <v>5.5119253074570581E-3</v>
      </c>
      <c r="W315" s="98" t="str">
        <f t="shared" si="176"/>
        <v>1-0.0437831125060361i</v>
      </c>
      <c r="X315" s="160">
        <f t="shared" si="186"/>
        <v>1.0009580215676961</v>
      </c>
      <c r="Y315" s="160">
        <f t="shared" si="187"/>
        <v>-4.3755167801499996E-2</v>
      </c>
      <c r="Z315" s="98" t="str">
        <f t="shared" si="177"/>
        <v>0.998240699729921+0.0844534522517417i</v>
      </c>
      <c r="AA315" s="160">
        <f t="shared" si="188"/>
        <v>1.0018068078200104</v>
      </c>
      <c r="AB315" s="160">
        <f t="shared" si="189"/>
        <v>8.4401307200576939E-2</v>
      </c>
      <c r="AC315" s="171" t="str">
        <f t="shared" si="190"/>
        <v>-0.0844484062915281-0.725206567790202i</v>
      </c>
      <c r="AD315" s="190">
        <f t="shared" si="191"/>
        <v>-2.7322708303618892</v>
      </c>
      <c r="AE315" s="169">
        <f t="shared" si="192"/>
        <v>-96.642029367121651</v>
      </c>
      <c r="AF315" s="98" t="str">
        <f t="shared" si="178"/>
        <v>-0.0000366300366300366</v>
      </c>
      <c r="AG315" s="98" t="str">
        <f t="shared" si="179"/>
        <v>0.00404602870033458i</v>
      </c>
      <c r="AH315" s="98">
        <f t="shared" si="193"/>
        <v>4.0460287003345804E-3</v>
      </c>
      <c r="AI315" s="98">
        <f t="shared" si="194"/>
        <v>1.5707963267948966</v>
      </c>
      <c r="AJ315" s="98" t="str">
        <f t="shared" si="180"/>
        <v>1+0.577882696120041i</v>
      </c>
      <c r="AK315" s="98">
        <f t="shared" si="195"/>
        <v>1.1549668438855583</v>
      </c>
      <c r="AL315" s="98">
        <f t="shared" si="196"/>
        <v>0.52399800373379735</v>
      </c>
      <c r="AM315" s="98" t="str">
        <f t="shared" si="181"/>
        <v>1+39.8739060322827i</v>
      </c>
      <c r="AN315" s="98">
        <f t="shared" si="197"/>
        <v>39.886443590163701</v>
      </c>
      <c r="AO315" s="98">
        <f t="shared" si="198"/>
        <v>1.5457225247644721</v>
      </c>
      <c r="AP315" s="168" t="str">
        <f t="shared" si="199"/>
        <v>-0.266696897181375+0.163172852883846i</v>
      </c>
      <c r="AQ315" s="98">
        <f t="shared" si="200"/>
        <v>-10.098716163905312</v>
      </c>
      <c r="AR315" s="169">
        <f t="shared" si="201"/>
        <v>148.54050288008318</v>
      </c>
      <c r="AS315" s="168" t="str">
        <f t="shared" si="202"/>
        <v>0.140856152526292+0.179630654069119i</v>
      </c>
      <c r="AT315" s="190">
        <f t="shared" si="203"/>
        <v>-12.830986994267198</v>
      </c>
      <c r="AU315" s="169">
        <f t="shared" si="204"/>
        <v>51.898473512961637</v>
      </c>
      <c r="AV315" s="225"/>
      <c r="AX315">
        <f t="shared" si="205"/>
        <v>0</v>
      </c>
      <c r="AY315">
        <f t="shared" si="206"/>
        <v>0</v>
      </c>
    </row>
    <row r="316" spans="14:51" x14ac:dyDescent="0.3">
      <c r="N316" s="170">
        <v>98</v>
      </c>
      <c r="O316" s="199">
        <f t="shared" si="207"/>
        <v>9549.9258602143691</v>
      </c>
      <c r="P316" s="189" t="str">
        <f t="shared" si="173"/>
        <v>108.75</v>
      </c>
      <c r="Q316" s="160" t="str">
        <f t="shared" si="174"/>
        <v>1+152.290034870166i</v>
      </c>
      <c r="R316" s="160">
        <f t="shared" si="182"/>
        <v>152.29331804368954</v>
      </c>
      <c r="S316" s="160">
        <f t="shared" si="183"/>
        <v>1.5642300033410346</v>
      </c>
      <c r="T316" s="160" t="str">
        <f t="shared" si="175"/>
        <v>1+0.00564037166185802i</v>
      </c>
      <c r="U316" s="160">
        <f t="shared" si="184"/>
        <v>1.0000159067697294</v>
      </c>
      <c r="V316" s="160">
        <f t="shared" si="185"/>
        <v>5.6403118491285429E-3</v>
      </c>
      <c r="W316" s="98" t="str">
        <f t="shared" si="176"/>
        <v>1-0.0448029522076666i</v>
      </c>
      <c r="X316" s="160">
        <f t="shared" si="186"/>
        <v>1.0010031491091935</v>
      </c>
      <c r="Y316" s="160">
        <f t="shared" si="187"/>
        <v>-4.4773010537709511E-2</v>
      </c>
      <c r="Z316" s="98" t="str">
        <f t="shared" si="177"/>
        <v>0.998157786462606+0.0864206258631245i</v>
      </c>
      <c r="AA316" s="160">
        <f t="shared" si="188"/>
        <v>1.0018919558767319</v>
      </c>
      <c r="AB316" s="160">
        <f t="shared" si="189"/>
        <v>8.6364754501336238E-2</v>
      </c>
      <c r="AC316" s="171" t="str">
        <f t="shared" si="190"/>
        <v>-0.0846527593309283-0.70842054377437i</v>
      </c>
      <c r="AD316" s="190">
        <f t="shared" si="191"/>
        <v>-2.9326024197656735</v>
      </c>
      <c r="AE316" s="169">
        <f t="shared" si="192"/>
        <v>-96.814251786598817</v>
      </c>
      <c r="AF316" s="98" t="str">
        <f t="shared" si="178"/>
        <v>-0.0000366300366300366</v>
      </c>
      <c r="AG316" s="98" t="str">
        <f t="shared" si="179"/>
        <v>0.00414027281561918i</v>
      </c>
      <c r="AH316" s="98">
        <f t="shared" si="193"/>
        <v>4.1402728156191802E-3</v>
      </c>
      <c r="AI316" s="98">
        <f t="shared" si="194"/>
        <v>1.5707963267948966</v>
      </c>
      <c r="AJ316" s="98" t="str">
        <f t="shared" si="180"/>
        <v>1+0.591343313299946i</v>
      </c>
      <c r="AK316" s="98">
        <f t="shared" si="195"/>
        <v>1.1617602653665506</v>
      </c>
      <c r="AL316" s="98">
        <f t="shared" si="196"/>
        <v>0.53402997367384097</v>
      </c>
      <c r="AM316" s="98" t="str">
        <f t="shared" si="181"/>
        <v>1+40.8026886176962i</v>
      </c>
      <c r="AN316" s="98">
        <f t="shared" si="197"/>
        <v>40.814940872585801</v>
      </c>
      <c r="AO316" s="98">
        <f t="shared" si="198"/>
        <v>1.5462930430925517</v>
      </c>
      <c r="AP316" s="168" t="str">
        <f t="shared" si="199"/>
        <v>-0.263586983273555+0.164717651954795i</v>
      </c>
      <c r="AQ316" s="98">
        <f t="shared" si="200"/>
        <v>-10.14977906127273</v>
      </c>
      <c r="AR316" s="169">
        <f t="shared" si="201"/>
        <v>147.99840163465041</v>
      </c>
      <c r="AS316" s="168" t="str">
        <f t="shared" si="202"/>
        <v>0.139002734024875+0.172786630274013i</v>
      </c>
      <c r="AT316" s="190">
        <f t="shared" si="203"/>
        <v>-13.082381481038396</v>
      </c>
      <c r="AU316" s="169">
        <f t="shared" si="204"/>
        <v>51.184149848051646</v>
      </c>
      <c r="AV316" s="225"/>
      <c r="AX316">
        <f t="shared" si="205"/>
        <v>0</v>
      </c>
      <c r="AY316">
        <f t="shared" si="206"/>
        <v>0</v>
      </c>
    </row>
    <row r="317" spans="14:51" x14ac:dyDescent="0.3">
      <c r="N317" s="170">
        <v>99</v>
      </c>
      <c r="O317" s="199">
        <f t="shared" si="207"/>
        <v>9772.3722095581161</v>
      </c>
      <c r="P317" s="189" t="str">
        <f t="shared" si="173"/>
        <v>108.75</v>
      </c>
      <c r="Q317" s="160" t="str">
        <f t="shared" si="174"/>
        <v>1+155.837325476833i</v>
      </c>
      <c r="R317" s="160">
        <f t="shared" si="182"/>
        <v>155.84053391775961</v>
      </c>
      <c r="S317" s="160">
        <f t="shared" si="183"/>
        <v>1.5643794669601994</v>
      </c>
      <c r="T317" s="160" t="str">
        <f t="shared" si="175"/>
        <v>1+0.00577175279543827i</v>
      </c>
      <c r="U317" s="160">
        <f t="shared" si="184"/>
        <v>1.0000166564264474</v>
      </c>
      <c r="V317" s="160">
        <f t="shared" si="185"/>
        <v>5.7716887050015915E-3</v>
      </c>
      <c r="W317" s="98" t="str">
        <f t="shared" si="176"/>
        <v>1-0.0458465470275948i</v>
      </c>
      <c r="X317" s="160">
        <f t="shared" si="186"/>
        <v>1.0010504012657671</v>
      </c>
      <c r="Y317" s="160">
        <f t="shared" si="187"/>
        <v>-4.5814465768120177E-2</v>
      </c>
      <c r="Z317" s="98" t="str">
        <f t="shared" si="177"/>
        <v>0.998070965613389+0.0884336208342523i</v>
      </c>
      <c r="AA317" s="160">
        <f t="shared" si="188"/>
        <v>1.0019811164359831</v>
      </c>
      <c r="AB317" s="160">
        <f t="shared" si="189"/>
        <v>8.837375703247087E-2</v>
      </c>
      <c r="AC317" s="171" t="str">
        <f t="shared" si="190"/>
        <v>-0.0848463728601966-0.692010090988887i</v>
      </c>
      <c r="AD317" s="190">
        <f t="shared" si="191"/>
        <v>-3.1329504166894688</v>
      </c>
      <c r="AE317" s="169">
        <f t="shared" si="192"/>
        <v>-96.990066437119935</v>
      </c>
      <c r="AF317" s="98" t="str">
        <f t="shared" si="178"/>
        <v>-0.0000366300366300366</v>
      </c>
      <c r="AG317" s="98" t="str">
        <f t="shared" si="179"/>
        <v>0.00423671215835361i</v>
      </c>
      <c r="AH317" s="98">
        <f t="shared" si="193"/>
        <v>4.2367121583536099E-3</v>
      </c>
      <c r="AI317" s="98">
        <f t="shared" si="194"/>
        <v>1.5707963267948966</v>
      </c>
      <c r="AJ317" s="98" t="str">
        <f t="shared" si="180"/>
        <v>1+0.605117468531918i</v>
      </c>
      <c r="AK317" s="98">
        <f t="shared" si="195"/>
        <v>1.1688315322245875</v>
      </c>
      <c r="AL317" s="98">
        <f t="shared" si="196"/>
        <v>0.54417385087750758</v>
      </c>
      <c r="AM317" s="98" t="str">
        <f t="shared" si="181"/>
        <v>1+41.7531053287022i</v>
      </c>
      <c r="AN317" s="98">
        <f t="shared" si="197"/>
        <v>41.765078769106843</v>
      </c>
      <c r="AO317" s="98">
        <f t="shared" si="198"/>
        <v>1.5468505902549174</v>
      </c>
      <c r="AP317" s="168" t="str">
        <f t="shared" si="199"/>
        <v>-0.260407302199854+0.166222871376802i</v>
      </c>
      <c r="AQ317" s="98">
        <f t="shared" si="200"/>
        <v>-10.202604412054523</v>
      </c>
      <c r="AR317" s="169">
        <f t="shared" si="201"/>
        <v>147.44914538226442</v>
      </c>
      <c r="AS317" s="168" t="str">
        <f t="shared" si="202"/>
        <v>0.137122519403862+0.166101073166763i</v>
      </c>
      <c r="AT317" s="190">
        <f t="shared" si="203"/>
        <v>-13.335554828743978</v>
      </c>
      <c r="AU317" s="169">
        <f t="shared" si="204"/>
        <v>50.459078945144405</v>
      </c>
      <c r="AV317" s="225"/>
      <c r="AX317">
        <f t="shared" si="205"/>
        <v>0</v>
      </c>
      <c r="AY317">
        <f t="shared" si="206"/>
        <v>0</v>
      </c>
    </row>
    <row r="318" spans="14:51" x14ac:dyDescent="0.3">
      <c r="N318" s="170">
        <v>100</v>
      </c>
      <c r="O318" s="199">
        <f t="shared" si="207"/>
        <v>10000</v>
      </c>
      <c r="P318" s="189" t="str">
        <f t="shared" si="173"/>
        <v>108.75</v>
      </c>
      <c r="Q318" s="160" t="str">
        <f t="shared" si="174"/>
        <v>1+159.467243096218i</v>
      </c>
      <c r="R318" s="160">
        <f t="shared" si="182"/>
        <v>159.47037850556535</v>
      </c>
      <c r="S318" s="160">
        <f t="shared" si="183"/>
        <v>1.5645255286490616</v>
      </c>
      <c r="T318" s="160" t="str">
        <f t="shared" si="175"/>
        <v>1+0.00590619418874883i</v>
      </c>
      <c r="U318" s="160">
        <f t="shared" si="184"/>
        <v>1.0000174414127962</v>
      </c>
      <c r="V318" s="160">
        <f t="shared" si="185"/>
        <v>5.9061255146733369E-3</v>
      </c>
      <c r="W318" s="98" t="str">
        <f t="shared" si="176"/>
        <v>1-0.0469144502936078i</v>
      </c>
      <c r="X318" s="160">
        <f t="shared" si="186"/>
        <v>1.001099877957415</v>
      </c>
      <c r="Y318" s="160">
        <f t="shared" si="187"/>
        <v>-4.6880076644197487E-2</v>
      </c>
      <c r="Z318" s="98" t="str">
        <f t="shared" si="177"/>
        <v>0.997980053023608+0.0904935044817036i</v>
      </c>
      <c r="AA318" s="160">
        <f t="shared" si="188"/>
        <v>1.0020744785625384</v>
      </c>
      <c r="AB318" s="160">
        <f t="shared" si="189"/>
        <v>9.0429363122695977E-2</v>
      </c>
      <c r="AC318" s="171" t="str">
        <f t="shared" si="190"/>
        <v>-0.0850296581245527-0.675966523379321i</v>
      </c>
      <c r="AD318" s="190">
        <f t="shared" si="191"/>
        <v>-3.3333155546396225</v>
      </c>
      <c r="AE318" s="169">
        <f t="shared" si="192"/>
        <v>-97.169565052748652</v>
      </c>
      <c r="AF318" s="98" t="str">
        <f t="shared" si="178"/>
        <v>-0.0000366300366300366</v>
      </c>
      <c r="AG318" s="98" t="str">
        <f t="shared" si="179"/>
        <v>0.00433539786195391i</v>
      </c>
      <c r="AH318" s="98">
        <f t="shared" si="193"/>
        <v>4.3353978619539097E-3</v>
      </c>
      <c r="AI318" s="98">
        <f t="shared" si="194"/>
        <v>1.5707963267948966</v>
      </c>
      <c r="AJ318" s="98" t="str">
        <f t="shared" si="180"/>
        <v>1+0.619212465055381i</v>
      </c>
      <c r="AK318" s="98">
        <f t="shared" si="195"/>
        <v>1.1761904934490677</v>
      </c>
      <c r="AL318" s="98">
        <f t="shared" si="196"/>
        <v>0.55442666296584919</v>
      </c>
      <c r="AM318" s="98" t="str">
        <f t="shared" si="181"/>
        <v>1+42.7256600888211i</v>
      </c>
      <c r="AN318" s="98">
        <f t="shared" si="197"/>
        <v>42.737361055936532</v>
      </c>
      <c r="AO318" s="98">
        <f t="shared" si="198"/>
        <v>1.5473954604831124</v>
      </c>
      <c r="AP318" s="168" t="str">
        <f t="shared" si="199"/>
        <v>-0.257158963776347+0.167685095864239i</v>
      </c>
      <c r="AQ318" s="98">
        <f t="shared" si="200"/>
        <v>-10.257231383372803</v>
      </c>
      <c r="AR318" s="169">
        <f t="shared" si="201"/>
        <v>146.89292128591953</v>
      </c>
      <c r="AS318" s="168" t="str">
        <f t="shared" si="202"/>
        <v>0.135215650047445+0.159572644325807i</v>
      </c>
      <c r="AT318" s="190">
        <f t="shared" si="203"/>
        <v>-13.590546938012418</v>
      </c>
      <c r="AU318" s="169">
        <f t="shared" si="204"/>
        <v>49.723356233170826</v>
      </c>
      <c r="AV318" s="225"/>
      <c r="AX318">
        <f t="shared" si="205"/>
        <v>0</v>
      </c>
      <c r="AY318">
        <f t="shared" si="206"/>
        <v>0</v>
      </c>
    </row>
    <row r="319" spans="14:51" x14ac:dyDescent="0.3">
      <c r="N319" s="170">
        <v>1</v>
      </c>
      <c r="O319" s="199">
        <f>10^(4+(N319/100))</f>
        <v>10232.929922807549</v>
      </c>
      <c r="P319" s="189" t="str">
        <f t="shared" si="173"/>
        <v>108.75</v>
      </c>
      <c r="Q319" s="160" t="str">
        <f t="shared" si="174"/>
        <v>1+163.181712358691i</v>
      </c>
      <c r="R319" s="160">
        <f t="shared" si="182"/>
        <v>163.18477639876386</v>
      </c>
      <c r="S319" s="160">
        <f t="shared" si="183"/>
        <v>1.5646682658265194</v>
      </c>
      <c r="T319" s="160" t="str">
        <f t="shared" si="175"/>
        <v>1+0.00604376712439599i</v>
      </c>
      <c r="U319" s="160">
        <f t="shared" si="184"/>
        <v>1.0000182633937511</v>
      </c>
      <c r="V319" s="160">
        <f t="shared" si="185"/>
        <v>6.0436935388709125E-3</v>
      </c>
      <c r="W319" s="98" t="str">
        <f t="shared" si="176"/>
        <v>1-0.0480072282221526i</v>
      </c>
      <c r="X319" s="160">
        <f t="shared" si="186"/>
        <v>1.0011516837930075</v>
      </c>
      <c r="Y319" s="160">
        <f t="shared" si="187"/>
        <v>-4.7970398481191195E-2</v>
      </c>
      <c r="Z319" s="98" t="str">
        <f t="shared" si="177"/>
        <v>0.997884855855471+0.0926013689830542i</v>
      </c>
      <c r="AA319" s="160">
        <f t="shared" si="188"/>
        <v>1.0021722402278115</v>
      </c>
      <c r="AB319" s="160">
        <f t="shared" si="189"/>
        <v>9.2532644609265288E-2</v>
      </c>
      <c r="AC319" s="171" t="str">
        <f t="shared" si="190"/>
        <v>-0.0852030045366177-0.660281349279396i</v>
      </c>
      <c r="AD319" s="190">
        <f t="shared" si="191"/>
        <v>-3.5336986030342796</v>
      </c>
      <c r="AE319" s="169">
        <f t="shared" si="192"/>
        <v>-97.352841215293267</v>
      </c>
      <c r="AF319" s="98" t="str">
        <f t="shared" si="178"/>
        <v>-0.0000366300366300366</v>
      </c>
      <c r="AG319" s="98" t="str">
        <f t="shared" si="179"/>
        <v>0.00443638225088641i</v>
      </c>
      <c r="AH319" s="98">
        <f t="shared" si="193"/>
        <v>4.4363822508864097E-3</v>
      </c>
      <c r="AI319" s="98">
        <f t="shared" si="194"/>
        <v>1.5707963267948966</v>
      </c>
      <c r="AJ319" s="98" t="str">
        <f t="shared" si="180"/>
        <v>1+0.633635776224062i</v>
      </c>
      <c r="AK319" s="98">
        <f t="shared" si="195"/>
        <v>1.1838472439090566</v>
      </c>
      <c r="AL319" s="98">
        <f t="shared" si="196"/>
        <v>0.56478522347777482</v>
      </c>
      <c r="AM319" s="98" t="str">
        <f t="shared" si="181"/>
        <v>1+43.7208685594602i</v>
      </c>
      <c r="AN319" s="98">
        <f t="shared" si="197"/>
        <v>43.732303250498887</v>
      </c>
      <c r="AO319" s="98">
        <f t="shared" si="198"/>
        <v>1.5479279413796982</v>
      </c>
      <c r="AP319" s="168" t="str">
        <f t="shared" si="199"/>
        <v>-0.253843274894379+0.169100916434401i</v>
      </c>
      <c r="AQ319" s="98">
        <f t="shared" si="200"/>
        <v>-10.313698452064191</v>
      </c>
      <c r="AR319" s="169">
        <f t="shared" si="201"/>
        <v>146.32992839480107</v>
      </c>
      <c r="AS319" s="168" t="str">
        <f t="shared" si="202"/>
        <v>0.133282390970104+0.153200073902655i</v>
      </c>
      <c r="AT319" s="190">
        <f t="shared" si="203"/>
        <v>-13.847397055098472</v>
      </c>
      <c r="AU319" s="169">
        <f t="shared" si="204"/>
        <v>48.977087179507919</v>
      </c>
      <c r="AV319" s="225"/>
      <c r="AX319">
        <f t="shared" si="205"/>
        <v>0</v>
      </c>
      <c r="AY319">
        <f t="shared" si="206"/>
        <v>0</v>
      </c>
    </row>
    <row r="320" spans="14:51" x14ac:dyDescent="0.3">
      <c r="N320" s="170">
        <v>2</v>
      </c>
      <c r="O320" s="199">
        <f t="shared" ref="O320:O383" si="208">10^(4+(N320/100))</f>
        <v>10471.285480509003</v>
      </c>
      <c r="P320" s="189" t="str">
        <f t="shared" si="173"/>
        <v>108.75</v>
      </c>
      <c r="Q320" s="160" t="str">
        <f t="shared" si="174"/>
        <v>1+166.982702725022i</v>
      </c>
      <c r="R320" s="160">
        <f t="shared" si="182"/>
        <v>166.98569702029292</v>
      </c>
      <c r="S320" s="160">
        <f t="shared" si="183"/>
        <v>1.564807754150435</v>
      </c>
      <c r="T320" s="160" t="str">
        <f t="shared" si="175"/>
        <v>1+0.00618454454537122i</v>
      </c>
      <c r="U320" s="160">
        <f t="shared" si="184"/>
        <v>1.000019124112751</v>
      </c>
      <c r="V320" s="160">
        <f t="shared" si="185"/>
        <v>6.184465697141951E-3</v>
      </c>
      <c r="W320" s="98" t="str">
        <f t="shared" si="176"/>
        <v>1-0.0491254602185516i</v>
      </c>
      <c r="X320" s="160">
        <f t="shared" si="186"/>
        <v>1.0012059282893226</v>
      </c>
      <c r="Y320" s="160">
        <f t="shared" si="187"/>
        <v>-4.9085999006864202E-2</v>
      </c>
      <c r="Z320" s="98" t="str">
        <f t="shared" si="177"/>
        <v>0.997785172183021+0.0947583319559638i</v>
      </c>
      <c r="AA320" s="160">
        <f t="shared" si="188"/>
        <v>1.0022746087292531</v>
      </c>
      <c r="AB320" s="160">
        <f t="shared" si="189"/>
        <v>9.4684697321004443E-2</v>
      </c>
      <c r="AC320" s="171" t="str">
        <f t="shared" si="190"/>
        <v>-0.0853667805077567-0.644946266978632i</v>
      </c>
      <c r="AD320" s="190">
        <f t="shared" si="191"/>
        <v>-3.7341003687922845</v>
      </c>
      <c r="AE320" s="169">
        <f t="shared" si="192"/>
        <v>-97.539990396419086</v>
      </c>
      <c r="AF320" s="98" t="str">
        <f t="shared" si="178"/>
        <v>-0.0000366300366300366</v>
      </c>
      <c r="AG320" s="98" t="str">
        <f t="shared" si="179"/>
        <v>0.00453971886841078i</v>
      </c>
      <c r="AH320" s="98">
        <f t="shared" si="193"/>
        <v>4.5397188684107798E-3</v>
      </c>
      <c r="AI320" s="98">
        <f t="shared" si="194"/>
        <v>1.5707963267948966</v>
      </c>
      <c r="AJ320" s="98" t="str">
        <f t="shared" si="180"/>
        <v>1+0.648395049468459i</v>
      </c>
      <c r="AK320" s="98">
        <f t="shared" si="195"/>
        <v>1.191812124529368</v>
      </c>
      <c r="AL320" s="98">
        <f t="shared" si="196"/>
        <v>0.57524613255300217</v>
      </c>
      <c r="AM320" s="98" t="str">
        <f t="shared" si="181"/>
        <v>1+44.7392584133236i</v>
      </c>
      <c r="AN320" s="98">
        <f t="shared" si="197"/>
        <v>44.750432884768237</v>
      </c>
      <c r="AO320" s="98">
        <f t="shared" si="198"/>
        <v>1.5484483140645826</v>
      </c>
      <c r="AP320" s="168" t="str">
        <f t="shared" si="199"/>
        <v>-0.250461742873338+0.17046694381267i</v>
      </c>
      <c r="AQ320" s="98">
        <f t="shared" si="200"/>
        <v>-10.372043293399711</v>
      </c>
      <c r="AR320" s="169">
        <f t="shared" si="201"/>
        <v>145.76037761353825</v>
      </c>
      <c r="AS320" s="168" t="str">
        <f t="shared" si="202"/>
        <v>0.131323131684696+0.146982151910837i</v>
      </c>
      <c r="AT320" s="190">
        <f t="shared" si="203"/>
        <v>-14.106143662192</v>
      </c>
      <c r="AU320" s="169">
        <f t="shared" si="204"/>
        <v>48.220387217119203</v>
      </c>
      <c r="AV320" s="225"/>
      <c r="AX320">
        <f t="shared" si="205"/>
        <v>0</v>
      </c>
      <c r="AY320">
        <f t="shared" si="206"/>
        <v>0</v>
      </c>
    </row>
    <row r="321" spans="14:51" x14ac:dyDescent="0.3">
      <c r="N321" s="170">
        <v>3</v>
      </c>
      <c r="O321" s="199">
        <f t="shared" si="208"/>
        <v>10715.193052376071</v>
      </c>
      <c r="P321" s="189" t="str">
        <f t="shared" si="173"/>
        <v>108.75</v>
      </c>
      <c r="Q321" s="160" t="str">
        <f t="shared" si="174"/>
        <v>1+170.872229530616i</v>
      </c>
      <c r="R321" s="160">
        <f t="shared" si="182"/>
        <v>170.87515566858607</v>
      </c>
      <c r="S321" s="160">
        <f t="shared" si="183"/>
        <v>1.5649440675576398</v>
      </c>
      <c r="T321" s="160" t="str">
        <f t="shared" si="175"/>
        <v>1+0.00632860109372653i</v>
      </c>
      <c r="U321" s="160">
        <f t="shared" si="184"/>
        <v>1.0000200253953935</v>
      </c>
      <c r="V321" s="160">
        <f t="shared" si="185"/>
        <v>6.32851660641806E-3</v>
      </c>
      <c r="W321" s="98" t="str">
        <f t="shared" si="176"/>
        <v>1-0.0502697391842108i</v>
      </c>
      <c r="X321" s="160">
        <f t="shared" si="186"/>
        <v>1.0012627261002223</v>
      </c>
      <c r="Y321" s="160">
        <f t="shared" si="187"/>
        <v>-5.0227458613574992E-2</v>
      </c>
      <c r="Z321" s="98" t="str">
        <f t="shared" si="177"/>
        <v>0.997680790563824+0.0969655370507512i</v>
      </c>
      <c r="AA321" s="160">
        <f t="shared" si="188"/>
        <v>1.0023818011294885</v>
      </c>
      <c r="AB321" s="160">
        <f t="shared" si="189"/>
        <v>9.6886641568044718E-2</v>
      </c>
      <c r="AC321" s="171" t="str">
        <f t="shared" si="190"/>
        <v>-0.0855213342355427-0.629953160390247i</v>
      </c>
      <c r="AD321" s="190">
        <f t="shared" si="191"/>
        <v>-3.9345216979978166</v>
      </c>
      <c r="AE321" s="169">
        <f t="shared" si="192"/>
        <v>-97.731110000234111</v>
      </c>
      <c r="AF321" s="98" t="str">
        <f t="shared" si="178"/>
        <v>-0.0000366300366300366</v>
      </c>
      <c r="AG321" s="98" t="str">
        <f t="shared" si="179"/>
        <v>0.00464546250496947i</v>
      </c>
      <c r="AH321" s="98">
        <f t="shared" si="193"/>
        <v>4.6454625049694703E-3</v>
      </c>
      <c r="AI321" s="98">
        <f t="shared" si="194"/>
        <v>1.5707963267948966</v>
      </c>
      <c r="AJ321" s="98" t="str">
        <f t="shared" si="180"/>
        <v>1+0.663498110350607i</v>
      </c>
      <c r="AK321" s="98">
        <f t="shared" si="195"/>
        <v>1.2000957221983697</v>
      </c>
      <c r="AL321" s="98">
        <f t="shared" si="196"/>
        <v>0.5858057785050319</v>
      </c>
      <c r="AM321" s="98" t="str">
        <f t="shared" si="181"/>
        <v>1+45.7813696141918i</v>
      </c>
      <c r="AN321" s="98">
        <f t="shared" si="197"/>
        <v>45.79228978497629</v>
      </c>
      <c r="AO321" s="98">
        <f t="shared" si="198"/>
        <v>1.5489568533183209</v>
      </c>
      <c r="AP321" s="168" t="str">
        <f t="shared" si="199"/>
        <v>-0.247016077776086+0.171779822406996i</v>
      </c>
      <c r="AQ321" s="98">
        <f t="shared" si="200"/>
        <v>-10.432302668184883</v>
      </c>
      <c r="AR321" s="169">
        <f t="shared" si="201"/>
        <v>145.18449162029057</v>
      </c>
      <c r="AS321" s="168" t="str">
        <f t="shared" si="202"/>
        <v>0.129338386565604+0.140917719255258i</v>
      </c>
      <c r="AT321" s="190">
        <f t="shared" si="203"/>
        <v>-14.366824366182682</v>
      </c>
      <c r="AU321" s="169">
        <f t="shared" si="204"/>
        <v>47.453381620056533</v>
      </c>
      <c r="AV321" s="225"/>
      <c r="AX321">
        <f t="shared" si="205"/>
        <v>0</v>
      </c>
      <c r="AY321">
        <f t="shared" si="206"/>
        <v>0</v>
      </c>
    </row>
    <row r="322" spans="14:51" x14ac:dyDescent="0.3">
      <c r="N322" s="170">
        <v>4</v>
      </c>
      <c r="O322" s="199">
        <f t="shared" si="208"/>
        <v>10964.781961431856</v>
      </c>
      <c r="P322" s="189" t="str">
        <f t="shared" si="173"/>
        <v>108.75</v>
      </c>
      <c r="Q322" s="160" t="str">
        <f t="shared" si="174"/>
        <v>1+174.852355054068i</v>
      </c>
      <c r="R322" s="160">
        <f t="shared" si="182"/>
        <v>174.85521458610796</v>
      </c>
      <c r="S322" s="160">
        <f t="shared" si="183"/>
        <v>1.5650772783030316</v>
      </c>
      <c r="T322" s="160" t="str">
        <f t="shared" si="175"/>
        <v>1+0.00647601315015068i</v>
      </c>
      <c r="U322" s="160">
        <f t="shared" si="184"/>
        <v>1.0000209691533077</v>
      </c>
      <c r="V322" s="160">
        <f t="shared" si="185"/>
        <v>6.4759226204711313E-3</v>
      </c>
      <c r="W322" s="98" t="str">
        <f t="shared" si="176"/>
        <v>1-0.0514406718309841i</v>
      </c>
      <c r="X322" s="160">
        <f t="shared" si="186"/>
        <v>1.001322197256419</v>
      </c>
      <c r="Y322" s="160">
        <f t="shared" si="187"/>
        <v>-5.1395370613622211E-2</v>
      </c>
      <c r="Z322" s="98" t="str">
        <f t="shared" si="177"/>
        <v>0.997571489590471+0.0992241545567735i</v>
      </c>
      <c r="AA322" s="160">
        <f t="shared" si="188"/>
        <v>1.0024940447161059</v>
      </c>
      <c r="AB322" s="160">
        <f t="shared" si="189"/>
        <v>9.9139622638097377E-2</v>
      </c>
      <c r="AC322" s="171" t="str">
        <f t="shared" si="190"/>
        <v>-0.085666994449061-0.615294094817366i</v>
      </c>
      <c r="AD322" s="190">
        <f t="shared" si="191"/>
        <v>-4.1349634776436206</v>
      </c>
      <c r="AE322" s="169">
        <f t="shared" si="192"/>
        <v>-97.926299406333044</v>
      </c>
      <c r="AF322" s="98" t="str">
        <f t="shared" si="178"/>
        <v>-0.0000366300366300366</v>
      </c>
      <c r="AG322" s="98" t="str">
        <f t="shared" si="179"/>
        <v>0.00475366922723825i</v>
      </c>
      <c r="AH322" s="98">
        <f t="shared" si="193"/>
        <v>4.7536692272382502E-3</v>
      </c>
      <c r="AI322" s="98">
        <f t="shared" si="194"/>
        <v>1.5707963267948966</v>
      </c>
      <c r="AJ322" s="98" t="str">
        <f t="shared" si="180"/>
        <v>1+0.678952966713299i</v>
      </c>
      <c r="AK322" s="98">
        <f t="shared" si="195"/>
        <v>1.2087088694176071</v>
      </c>
      <c r="AL322" s="98">
        <f t="shared" si="196"/>
        <v>0.59646034031817252</v>
      </c>
      <c r="AM322" s="98" t="str">
        <f t="shared" si="181"/>
        <v>1+46.8477547032175i</v>
      </c>
      <c r="AN322" s="98">
        <f t="shared" si="197"/>
        <v>46.85842635783704</v>
      </c>
      <c r="AO322" s="98">
        <f t="shared" si="198"/>
        <v>1.5494538277224379</v>
      </c>
      <c r="AP322" s="168" t="str">
        <f t="shared" si="199"/>
        <v>-0.24350819360742+0.17303624476492i</v>
      </c>
      <c r="AQ322" s="98">
        <f t="shared" si="200"/>
        <v>-10.49451230884741</v>
      </c>
      <c r="AR322" s="169">
        <f t="shared" si="201"/>
        <v>144.60250473171823</v>
      </c>
      <c r="AS322" s="168" t="str">
        <f t="shared" si="202"/>
        <v>0.127328794663295+0.135005658546527i</v>
      </c>
      <c r="AT322" s="190">
        <f t="shared" si="203"/>
        <v>-14.629475786491028</v>
      </c>
      <c r="AU322" s="169">
        <f t="shared" si="204"/>
        <v>46.67620532538534</v>
      </c>
      <c r="AV322" s="225"/>
      <c r="AX322">
        <f t="shared" si="205"/>
        <v>0</v>
      </c>
      <c r="AY322">
        <f t="shared" si="206"/>
        <v>0</v>
      </c>
    </row>
    <row r="323" spans="14:51" x14ac:dyDescent="0.3">
      <c r="N323" s="170">
        <v>5</v>
      </c>
      <c r="O323" s="199">
        <f t="shared" si="208"/>
        <v>11220.184543019639</v>
      </c>
      <c r="P323" s="189" t="str">
        <f t="shared" si="173"/>
        <v>108.75</v>
      </c>
      <c r="Q323" s="160" t="str">
        <f t="shared" si="174"/>
        <v>1+178.925189610614i</v>
      </c>
      <c r="R323" s="160">
        <f t="shared" si="182"/>
        <v>178.92798405278637</v>
      </c>
      <c r="S323" s="160">
        <f t="shared" si="183"/>
        <v>1.5652074569977894</v>
      </c>
      <c r="T323" s="160" t="str">
        <f t="shared" si="175"/>
        <v>1+0.0066268588744672i</v>
      </c>
      <c r="U323" s="160">
        <f t="shared" si="184"/>
        <v>1.0000219573882076</v>
      </c>
      <c r="V323" s="160">
        <f t="shared" si="185"/>
        <v>6.6267618702829014E-3</v>
      </c>
      <c r="W323" s="98" t="str">
        <f t="shared" si="176"/>
        <v>1-0.0526388790028601i</v>
      </c>
      <c r="X323" s="160">
        <f t="shared" si="186"/>
        <v>1.0013844674163255</v>
      </c>
      <c r="Y323" s="160">
        <f t="shared" si="187"/>
        <v>-5.2590341497744816E-2</v>
      </c>
      <c r="Z323" s="98" t="str">
        <f t="shared" si="177"/>
        <v>0.997457037420943+0.101535382022929i</v>
      </c>
      <c r="AA323" s="160">
        <f t="shared" si="188"/>
        <v>1.0026115774830784</v>
      </c>
      <c r="AB323" s="160">
        <f t="shared" si="189"/>
        <v>0.10144481129907984</v>
      </c>
      <c r="AC323" s="171" t="str">
        <f t="shared" si="190"/>
        <v>-0.0858040711136927-0.600961312815617i</v>
      </c>
      <c r="AD323" s="190">
        <f t="shared" si="191"/>
        <v>-4.3354266374560329</v>
      </c>
      <c r="AE323" s="169">
        <f t="shared" si="192"/>
        <v>-98.125660013283024</v>
      </c>
      <c r="AF323" s="98" t="str">
        <f t="shared" si="178"/>
        <v>-0.0000366300366300366</v>
      </c>
      <c r="AG323" s="98" t="str">
        <f t="shared" si="179"/>
        <v>0.00486439640785357i</v>
      </c>
      <c r="AH323" s="98">
        <f t="shared" si="193"/>
        <v>4.8643964078535704E-3</v>
      </c>
      <c r="AI323" s="98">
        <f t="shared" si="194"/>
        <v>1.5707963267948966</v>
      </c>
      <c r="AJ323" s="98" t="str">
        <f t="shared" si="180"/>
        <v>1+0.694767812925947i</v>
      </c>
      <c r="AK323" s="98">
        <f t="shared" si="195"/>
        <v>1.2176626437063363</v>
      </c>
      <c r="AL323" s="98">
        <f t="shared" si="196"/>
        <v>0.60720579109664696</v>
      </c>
      <c r="AM323" s="98" t="str">
        <f t="shared" si="181"/>
        <v>1+47.9389790918902i</v>
      </c>
      <c r="AN323" s="98">
        <f t="shared" si="197"/>
        <v>47.949407883441957</v>
      </c>
      <c r="AO323" s="98">
        <f t="shared" si="198"/>
        <v>1.5499394997968219</v>
      </c>
      <c r="AP323" s="168" t="str">
        <f t="shared" si="199"/>
        <v>-0.239940208323568+0.174232966415249i</v>
      </c>
      <c r="AQ323" s="98">
        <f t="shared" si="200"/>
        <v>-10.558706805161833</v>
      </c>
      <c r="AR323" s="169">
        <f t="shared" si="201"/>
        <v>144.01466271323554</v>
      </c>
      <c r="AS323" s="168" t="str">
        <f t="shared" si="202"/>
        <v>0.125295118930697+0.12924488475074i</v>
      </c>
      <c r="AT323" s="190">
        <f t="shared" si="203"/>
        <v>-14.894133442617878</v>
      </c>
      <c r="AU323" s="169">
        <f t="shared" si="204"/>
        <v>45.889002699952428</v>
      </c>
      <c r="AV323" s="225"/>
      <c r="AX323">
        <f t="shared" si="205"/>
        <v>0</v>
      </c>
      <c r="AY323">
        <f t="shared" si="206"/>
        <v>0</v>
      </c>
    </row>
    <row r="324" spans="14:51" x14ac:dyDescent="0.3">
      <c r="N324" s="170">
        <v>6</v>
      </c>
      <c r="O324" s="199">
        <f t="shared" si="208"/>
        <v>11481.536214968832</v>
      </c>
      <c r="P324" s="189" t="str">
        <f t="shared" si="173"/>
        <v>108.75</v>
      </c>
      <c r="Q324" s="160" t="str">
        <f t="shared" si="174"/>
        <v>1+183.092892671046i</v>
      </c>
      <c r="R324" s="160">
        <f t="shared" si="182"/>
        <v>183.09562350490842</v>
      </c>
      <c r="S324" s="160">
        <f t="shared" si="183"/>
        <v>1.5653346726467214</v>
      </c>
      <c r="T324" s="160" t="str">
        <f t="shared" si="175"/>
        <v>1+0.00678121824707581i</v>
      </c>
      <c r="U324" s="160">
        <f t="shared" si="184"/>
        <v>1.0000229921961368</v>
      </c>
      <c r="V324" s="160">
        <f t="shared" si="185"/>
        <v>6.7811143053487137E-3</v>
      </c>
      <c r="W324" s="98" t="str">
        <f t="shared" si="176"/>
        <v>1-0.0538649960051412i</v>
      </c>
      <c r="X324" s="160">
        <f t="shared" si="186"/>
        <v>1.0014496681284757</v>
      </c>
      <c r="Y324" s="160">
        <f t="shared" si="187"/>
        <v>-5.3812991196656522E-2</v>
      </c>
      <c r="Z324" s="98" t="str">
        <f t="shared" si="177"/>
        <v>0.997337191286845+0.103900444892612i</v>
      </c>
      <c r="AA324" s="160">
        <f t="shared" si="188"/>
        <v>1.0027346486348296</v>
      </c>
      <c r="AB324" s="160">
        <f t="shared" si="189"/>
        <v>0.1038034043078781</v>
      </c>
      <c r="AC324" s="171" t="str">
        <f t="shared" si="190"/>
        <v>-0.085932856096929-0.586947230150225i</v>
      </c>
      <c r="AD324" s="190">
        <f t="shared" si="191"/>
        <v>-4.535912151805368</v>
      </c>
      <c r="AE324" s="169">
        <f t="shared" si="192"/>
        <v>-98.32929528253176</v>
      </c>
      <c r="AF324" s="98" t="str">
        <f t="shared" si="178"/>
        <v>-0.0000366300366300366</v>
      </c>
      <c r="AG324" s="98" t="str">
        <f t="shared" si="179"/>
        <v>0.00497770275583223i</v>
      </c>
      <c r="AH324" s="98">
        <f t="shared" si="193"/>
        <v>4.9777027558322298E-3</v>
      </c>
      <c r="AI324" s="98">
        <f t="shared" si="194"/>
        <v>1.5707963267948966</v>
      </c>
      <c r="AJ324" s="98" t="str">
        <f t="shared" si="180"/>
        <v>1+0.710951034229347i</v>
      </c>
      <c r="AK324" s="98">
        <f t="shared" si="195"/>
        <v>1.2269683667771465</v>
      </c>
      <c r="AL324" s="98">
        <f t="shared" si="196"/>
        <v>0.61803790248715695</v>
      </c>
      <c r="AM324" s="98" t="str">
        <f t="shared" si="181"/>
        <v>1+49.0556213618248i</v>
      </c>
      <c r="AN324" s="98">
        <f t="shared" si="197"/>
        <v>49.065812814980667</v>
      </c>
      <c r="AO324" s="98">
        <f t="shared" si="198"/>
        <v>1.5504141261342377</v>
      </c>
      <c r="AP324" s="168" t="str">
        <f t="shared" si="199"/>
        <v>-0.23631444258993+0.175366820986073i</v>
      </c>
      <c r="AQ324" s="98">
        <f t="shared" si="200"/>
        <v>-10.624919490298288</v>
      </c>
      <c r="AR324" s="169">
        <f t="shared" si="201"/>
        <v>143.42122253332357</v>
      </c>
      <c r="AS324" s="168" t="str">
        <f t="shared" si="202"/>
        <v>0.123238244826732+0.123634335730682i</v>
      </c>
      <c r="AT324" s="190">
        <f t="shared" si="203"/>
        <v>-15.160831642103656</v>
      </c>
      <c r="AU324" s="169">
        <f t="shared" si="204"/>
        <v>45.09192725079194</v>
      </c>
      <c r="AV324" s="225"/>
      <c r="AX324">
        <f t="shared" si="205"/>
        <v>0</v>
      </c>
      <c r="AY324">
        <f t="shared" si="206"/>
        <v>0</v>
      </c>
    </row>
    <row r="325" spans="14:51" x14ac:dyDescent="0.3">
      <c r="N325" s="170">
        <v>7</v>
      </c>
      <c r="O325" s="199">
        <f t="shared" si="208"/>
        <v>11748.975549395318</v>
      </c>
      <c r="P325" s="189" t="str">
        <f t="shared" si="173"/>
        <v>108.75</v>
      </c>
      <c r="Q325" s="160" t="str">
        <f t="shared" si="174"/>
        <v>1+187.357674006694i</v>
      </c>
      <c r="R325" s="160">
        <f t="shared" si="182"/>
        <v>187.36034268008433</v>
      </c>
      <c r="S325" s="160">
        <f t="shared" si="183"/>
        <v>1.5654589926847686</v>
      </c>
      <c r="T325" s="160" t="str">
        <f t="shared" si="175"/>
        <v>1+0.00693917311135907i</v>
      </c>
      <c r="U325" s="160">
        <f t="shared" si="184"/>
        <v>1.0000240757719132</v>
      </c>
      <c r="V325" s="160">
        <f t="shared" si="185"/>
        <v>6.9390617359366856E-3</v>
      </c>
      <c r="W325" s="98" t="str">
        <f t="shared" si="176"/>
        <v>1-0.0551196729412919i</v>
      </c>
      <c r="X325" s="160">
        <f t="shared" si="186"/>
        <v>1.0015179371060485</v>
      </c>
      <c r="Y325" s="160">
        <f t="shared" si="187"/>
        <v>-5.5063953345479699E-2</v>
      </c>
      <c r="Z325" s="98" t="str">
        <f t="shared" si="177"/>
        <v>0.997211696978456+0.106320597153463i</v>
      </c>
      <c r="AA325" s="160">
        <f t="shared" si="188"/>
        <v>1.0028635191140025</v>
      </c>
      <c r="AB325" s="160">
        <f t="shared" si="189"/>
        <v>0.1062166249250092</v>
      </c>
      <c r="AC325" s="171" t="str">
        <f t="shared" si="190"/>
        <v>-0.0860536237967088-0.573244431845796i</v>
      </c>
      <c r="AD325" s="190">
        <f t="shared" si="191"/>
        <v>-4.7364210417049195</v>
      </c>
      <c r="AE325" s="169">
        <f t="shared" si="192"/>
        <v>-98.537310782716915</v>
      </c>
      <c r="AF325" s="98" t="str">
        <f t="shared" si="178"/>
        <v>-0.0000366300366300366</v>
      </c>
      <c r="AG325" s="98" t="str">
        <f t="shared" si="179"/>
        <v>0.00509364834769973i</v>
      </c>
      <c r="AH325" s="98">
        <f t="shared" si="193"/>
        <v>5.0936483476997302E-3</v>
      </c>
      <c r="AI325" s="98">
        <f t="shared" si="194"/>
        <v>1.5707963267948966</v>
      </c>
      <c r="AJ325" s="98" t="str">
        <f t="shared" si="180"/>
        <v>1+0.727511211181647i</v>
      </c>
      <c r="AK325" s="98">
        <f t="shared" si="195"/>
        <v>1.236637603501926</v>
      </c>
      <c r="AL325" s="98">
        <f t="shared" si="196"/>
        <v>0.62895225008894962</v>
      </c>
      <c r="AM325" s="98" t="str">
        <f t="shared" si="181"/>
        <v>1+50.1982735715335i</v>
      </c>
      <c r="AN325" s="98">
        <f t="shared" si="197"/>
        <v>50.208233085446444</v>
      </c>
      <c r="AO325" s="98">
        <f t="shared" si="198"/>
        <v>1.550877957532008</v>
      </c>
      <c r="AP325" s="168" t="str">
        <f t="shared" si="199"/>
        <v>-0.23263341723502+0.176434735481241i</v>
      </c>
      <c r="AQ325" s="98">
        <f t="shared" si="200"/>
        <v>-10.6931823279157</v>
      </c>
      <c r="AR325" s="169">
        <f t="shared" si="201"/>
        <v>142.82245206109985</v>
      </c>
      <c r="AS325" s="168" t="str">
        <f t="shared" si="202"/>
        <v>0.121159178268093+0.11817296273946i</v>
      </c>
      <c r="AT325" s="190">
        <f t="shared" si="203"/>
        <v>-15.429603369620617</v>
      </c>
      <c r="AU325" s="169">
        <f t="shared" si="204"/>
        <v>44.285141278382703</v>
      </c>
      <c r="AV325" s="225"/>
      <c r="AX325">
        <f t="shared" si="205"/>
        <v>0</v>
      </c>
      <c r="AY325">
        <f t="shared" si="206"/>
        <v>0</v>
      </c>
    </row>
    <row r="326" spans="14:51" x14ac:dyDescent="0.3">
      <c r="N326" s="170">
        <v>8</v>
      </c>
      <c r="O326" s="199">
        <f t="shared" si="208"/>
        <v>12022.644346174151</v>
      </c>
      <c r="P326" s="189" t="str">
        <f t="shared" si="173"/>
        <v>108.75</v>
      </c>
      <c r="Q326" s="160" t="str">
        <f t="shared" si="174"/>
        <v>1+191.721794861072i</v>
      </c>
      <c r="R326" s="160">
        <f t="shared" si="182"/>
        <v>191.72440278887549</v>
      </c>
      <c r="S326" s="160">
        <f t="shared" si="183"/>
        <v>1.5655804830126805</v>
      </c>
      <c r="T326" s="160" t="str">
        <f t="shared" si="175"/>
        <v>1+0.00710080721707676i</v>
      </c>
      <c r="U326" s="160">
        <f t="shared" si="184"/>
        <v>1.0000252104137846</v>
      </c>
      <c r="V326" s="160">
        <f t="shared" si="185"/>
        <v>7.1006878763240347E-3</v>
      </c>
      <c r="W326" s="98" t="str">
        <f t="shared" si="176"/>
        <v>1-0.0564035750576311i</v>
      </c>
      <c r="X326" s="160">
        <f t="shared" si="186"/>
        <v>1.0015894185140346</v>
      </c>
      <c r="Y326" s="160">
        <f t="shared" si="187"/>
        <v>-5.6343875550920776E-2</v>
      </c>
      <c r="Z326" s="98" t="str">
        <f t="shared" si="177"/>
        <v>0.997080288305525+0.108797122002244i</v>
      </c>
      <c r="AA326" s="160">
        <f t="shared" si="188"/>
        <v>1.0029984621540553</v>
      </c>
      <c r="AB326" s="160">
        <f t="shared" si="189"/>
        <v>0.10868572343489087</v>
      </c>
      <c r="AC326" s="171" t="str">
        <f t="shared" si="190"/>
        <v>-0.0861666317336687-0.559845668327026i</v>
      </c>
      <c r="AD326" s="190">
        <f t="shared" si="191"/>
        <v>-4.9369543769021424</v>
      </c>
      <c r="AE326" s="169">
        <f t="shared" si="192"/>
        <v>-98.749814234349827</v>
      </c>
      <c r="AF326" s="98" t="str">
        <f t="shared" si="178"/>
        <v>-0.0000366300366300366</v>
      </c>
      <c r="AG326" s="98" t="str">
        <f t="shared" si="179"/>
        <v>0.00521229465934357i</v>
      </c>
      <c r="AH326" s="98">
        <f t="shared" si="193"/>
        <v>5.2122946593435703E-3</v>
      </c>
      <c r="AI326" s="98">
        <f t="shared" si="194"/>
        <v>1.5707963267948966</v>
      </c>
      <c r="AJ326" s="98" t="str">
        <f t="shared" si="180"/>
        <v>1+0.744457124207862i</v>
      </c>
      <c r="AK326" s="98">
        <f t="shared" si="195"/>
        <v>1.2466821606904623</v>
      </c>
      <c r="AL326" s="98">
        <f t="shared" si="196"/>
        <v>0.63994421985751082</v>
      </c>
      <c r="AM326" s="98" t="str">
        <f t="shared" si="181"/>
        <v>1+51.3675415703423i</v>
      </c>
      <c r="AN326" s="98">
        <f t="shared" si="197"/>
        <v>51.377274421487598</v>
      </c>
      <c r="AO326" s="98">
        <f t="shared" si="198"/>
        <v>1.5513312391209138</v>
      </c>
      <c r="AP326" s="168" t="str">
        <f t="shared" si="199"/>
        <v>-0.228899849360862+0.177433745589016i</v>
      </c>
      <c r="AQ326" s="98">
        <f t="shared" si="200"/>
        <v>-10.763525801044192</v>
      </c>
      <c r="AR326" s="169">
        <f t="shared" si="201"/>
        <v>142.21862970680129</v>
      </c>
      <c r="AS326" s="168" t="str">
        <f t="shared" si="202"/>
        <v>0.11905904290682+0.112859720932093i</v>
      </c>
      <c r="AT326" s="190">
        <f t="shared" si="203"/>
        <v>-15.70048017794633</v>
      </c>
      <c r="AU326" s="169">
        <f t="shared" si="204"/>
        <v>43.468815472451389</v>
      </c>
      <c r="AV326" s="225"/>
      <c r="AX326">
        <f t="shared" si="205"/>
        <v>0</v>
      </c>
      <c r="AY326">
        <f t="shared" si="206"/>
        <v>0</v>
      </c>
    </row>
    <row r="327" spans="14:51" x14ac:dyDescent="0.3">
      <c r="N327" s="170">
        <v>9</v>
      </c>
      <c r="O327" s="199">
        <f t="shared" si="208"/>
        <v>12302.687708123816</v>
      </c>
      <c r="P327" s="189" t="str">
        <f t="shared" si="173"/>
        <v>108.75</v>
      </c>
      <c r="Q327" s="160" t="str">
        <f t="shared" si="174"/>
        <v>1+196.187569148823i</v>
      </c>
      <c r="R327" s="160">
        <f t="shared" si="182"/>
        <v>196.19011771372229</v>
      </c>
      <c r="S327" s="160">
        <f t="shared" si="183"/>
        <v>1.5656992080318832</v>
      </c>
      <c r="T327" s="160" t="str">
        <f t="shared" si="175"/>
        <v>1+0.00726620626477125i</v>
      </c>
      <c r="U327" s="160">
        <f t="shared" si="184"/>
        <v>1.0000263985283</v>
      </c>
      <c r="V327" s="160">
        <f t="shared" si="185"/>
        <v>7.266078389033117E-3</v>
      </c>
      <c r="W327" s="98" t="str">
        <f t="shared" si="176"/>
        <v>1-0.0577173830960554i</v>
      </c>
      <c r="X327" s="160">
        <f t="shared" si="186"/>
        <v>1.0016642632696131</v>
      </c>
      <c r="Y327" s="160">
        <f t="shared" si="187"/>
        <v>-5.7653419661018446E-2</v>
      </c>
      <c r="Z327" s="98" t="str">
        <f t="shared" si="177"/>
        <v>0.996942686532637+0.11133133252521i</v>
      </c>
      <c r="AA327" s="160">
        <f t="shared" si="188"/>
        <v>1.0031397638578337</v>
      </c>
      <c r="AB327" s="160">
        <f t="shared" si="189"/>
        <v>0.11121197767142875</v>
      </c>
      <c r="AC327" s="171" t="str">
        <f t="shared" si="190"/>
        <v>-0.086272121108659-0.546743851648532i</v>
      </c>
      <c r="AD327" s="190">
        <f t="shared" si="191"/>
        <v>-5.1375132780669812</v>
      </c>
      <c r="AE327" s="169">
        <f t="shared" si="192"/>
        <v>-98.966915554848512</v>
      </c>
      <c r="AF327" s="98" t="str">
        <f t="shared" si="178"/>
        <v>-0.0000366300366300366</v>
      </c>
      <c r="AG327" s="98" t="str">
        <f t="shared" si="179"/>
        <v>0.00533370459860867i</v>
      </c>
      <c r="AH327" s="98">
        <f t="shared" si="193"/>
        <v>5.3337045986086703E-3</v>
      </c>
      <c r="AI327" s="98">
        <f t="shared" si="194"/>
        <v>1.5707963267948966</v>
      </c>
      <c r="AJ327" s="98" t="str">
        <f t="shared" si="180"/>
        <v>1+0.761797758255388i</v>
      </c>
      <c r="AK327" s="98">
        <f t="shared" si="195"/>
        <v>1.2571140857069953</v>
      </c>
      <c r="AL327" s="98">
        <f t="shared" si="196"/>
        <v>0.65100901549964629</v>
      </c>
      <c r="AM327" s="98" t="str">
        <f t="shared" si="181"/>
        <v>1+52.5640453196216i</v>
      </c>
      <c r="AN327" s="98">
        <f t="shared" si="197"/>
        <v>52.573556664574568</v>
      </c>
      <c r="AO327" s="98">
        <f t="shared" si="198"/>
        <v>1.5517742104913612</v>
      </c>
      <c r="AP327" s="168" t="str">
        <f t="shared" si="199"/>
        <v>-0.225116647083604+0.178361010889632i</v>
      </c>
      <c r="AQ327" s="98">
        <f t="shared" si="200"/>
        <v>-10.835978803521613</v>
      </c>
      <c r="AR327" s="169">
        <f t="shared" si="201"/>
        <v>141.61004400530396</v>
      </c>
      <c r="AS327" s="168" t="str">
        <f t="shared" si="202"/>
        <v>0.116939076718495+0.10769355996416i</v>
      </c>
      <c r="AT327" s="190">
        <f t="shared" si="203"/>
        <v>-15.973492081588592</v>
      </c>
      <c r="AU327" s="169">
        <f t="shared" si="204"/>
        <v>42.643128450455535</v>
      </c>
      <c r="AV327" s="225"/>
      <c r="AX327">
        <f t="shared" si="205"/>
        <v>0</v>
      </c>
      <c r="AY327">
        <f t="shared" si="206"/>
        <v>0</v>
      </c>
    </row>
    <row r="328" spans="14:51" x14ac:dyDescent="0.3">
      <c r="N328" s="170">
        <v>10</v>
      </c>
      <c r="O328" s="199">
        <f t="shared" si="208"/>
        <v>12589.254117941671</v>
      </c>
      <c r="P328" s="189" t="str">
        <f t="shared" si="173"/>
        <v>108.75</v>
      </c>
      <c r="Q328" s="160" t="str">
        <f t="shared" si="174"/>
        <v>1+200.757364682586i</v>
      </c>
      <c r="R328" s="160">
        <f t="shared" si="182"/>
        <v>200.75985523579365</v>
      </c>
      <c r="S328" s="160">
        <f t="shared" si="183"/>
        <v>1.565815230678558</v>
      </c>
      <c r="T328" s="160" t="str">
        <f t="shared" si="175"/>
        <v>1+0.00743545795120693i</v>
      </c>
      <c r="U328" s="160">
        <f t="shared" si="184"/>
        <v>1.0000276426354144</v>
      </c>
      <c r="V328" s="160">
        <f t="shared" si="185"/>
        <v>7.4353209300894087E-3</v>
      </c>
      <c r="W328" s="98" t="str">
        <f t="shared" si="176"/>
        <v>1-0.0590617936549771i</v>
      </c>
      <c r="X328" s="160">
        <f t="shared" si="186"/>
        <v>1.0017426293563347</v>
      </c>
      <c r="Y328" s="160">
        <f t="shared" si="187"/>
        <v>-5.8993262037268415E-2</v>
      </c>
      <c r="Z328" s="98" t="str">
        <f t="shared" si="177"/>
        <v>0.996798599787984+0.113924572394326i</v>
      </c>
      <c r="AA328" s="160">
        <f t="shared" si="188"/>
        <v>1.0032877238033542</v>
      </c>
      <c r="AB328" s="160">
        <f t="shared" si="189"/>
        <v>0.11379669354855977</v>
      </c>
      <c r="AC328" s="171" t="str">
        <f t="shared" si="190"/>
        <v>-0.0863703173267919-0.533932051812238i</v>
      </c>
      <c r="AD328" s="190">
        <f t="shared" si="191"/>
        <v>-5.3380989190798189</v>
      </c>
      <c r="AE328" s="169">
        <f t="shared" si="192"/>
        <v>-99.188726903886248</v>
      </c>
      <c r="AF328" s="98" t="str">
        <f t="shared" si="178"/>
        <v>-0.0000366300366300366</v>
      </c>
      <c r="AG328" s="98" t="str">
        <f t="shared" si="179"/>
        <v>0.00545794253865188i</v>
      </c>
      <c r="AH328" s="98">
        <f t="shared" si="193"/>
        <v>5.4579425386518804E-3</v>
      </c>
      <c r="AI328" s="98">
        <f t="shared" si="194"/>
        <v>1.5707963267948966</v>
      </c>
      <c r="AJ328" s="98" t="str">
        <f t="shared" si="180"/>
        <v>1+0.779542307557926i</v>
      </c>
      <c r="AK328" s="98">
        <f t="shared" si="195"/>
        <v>1.2679456649528544</v>
      </c>
      <c r="AL328" s="98">
        <f t="shared" si="196"/>
        <v>0.6621416668488328</v>
      </c>
      <c r="AM328" s="98" t="str">
        <f t="shared" si="181"/>
        <v>1+53.7884192214967i</v>
      </c>
      <c r="AN328" s="98">
        <f t="shared" si="197"/>
        <v>53.797714099648097</v>
      </c>
      <c r="AO328" s="98">
        <f t="shared" si="198"/>
        <v>1.5522071058168636</v>
      </c>
      <c r="AP328" s="168" t="str">
        <f t="shared" si="199"/>
        <v>-0.221286902892969+0.179213829823009i</v>
      </c>
      <c r="AQ328" s="98">
        <f t="shared" si="200"/>
        <v>-10.910568534758539</v>
      </c>
      <c r="AR328" s="169">
        <f t="shared" si="201"/>
        <v>140.99699314332716</v>
      </c>
      <c r="AS328" s="168" t="str">
        <f t="shared" si="202"/>
        <v>0.114800627893657+0.102673414749655i</v>
      </c>
      <c r="AT328" s="190">
        <f t="shared" si="203"/>
        <v>-16.248667453838387</v>
      </c>
      <c r="AU328" s="169">
        <f t="shared" si="204"/>
        <v>41.808266239440833</v>
      </c>
      <c r="AV328" s="225"/>
      <c r="AX328">
        <f t="shared" si="205"/>
        <v>0</v>
      </c>
      <c r="AY328">
        <f t="shared" si="206"/>
        <v>0</v>
      </c>
    </row>
    <row r="329" spans="14:51" x14ac:dyDescent="0.3">
      <c r="N329" s="170">
        <v>11</v>
      </c>
      <c r="O329" s="199">
        <f t="shared" si="208"/>
        <v>12882.49551693136</v>
      </c>
      <c r="P329" s="189" t="str">
        <f t="shared" si="173"/>
        <v>108.75</v>
      </c>
      <c r="Q329" s="160" t="str">
        <f t="shared" si="174"/>
        <v>1+205.433604428443i</v>
      </c>
      <c r="R329" s="160">
        <f t="shared" si="182"/>
        <v>205.4360382904178</v>
      </c>
      <c r="S329" s="160">
        <f t="shared" si="183"/>
        <v>1.5659286124569458</v>
      </c>
      <c r="T329" s="160" t="str">
        <f t="shared" si="175"/>
        <v>1+0.00760865201586828i</v>
      </c>
      <c r="U329" s="160">
        <f t="shared" si="184"/>
        <v>1.000028945373832</v>
      </c>
      <c r="V329" s="160">
        <f t="shared" si="185"/>
        <v>7.6085051953251491E-3</v>
      </c>
      <c r="W329" s="98" t="str">
        <f t="shared" si="176"/>
        <v>1-0.0604375195586701i</v>
      </c>
      <c r="X329" s="160">
        <f t="shared" si="186"/>
        <v>1.001824682152723</v>
      </c>
      <c r="Y329" s="160">
        <f t="shared" si="187"/>
        <v>-6.0364093828911808E-2</v>
      </c>
      <c r="Z329" s="98" t="str">
        <f t="shared" si="177"/>
        <v>0.996647722444262+0.116578216579695i</v>
      </c>
      <c r="AA329" s="160">
        <f t="shared" si="188"/>
        <v>1.0034426556780598</v>
      </c>
      <c r="AB329" s="160">
        <f t="shared" si="189"/>
        <v>0.11644120559536202</v>
      </c>
      <c r="AC329" s="171" t="str">
        <f t="shared" si="190"/>
        <v>-0.0864614304892433-0.521403493170655i</v>
      </c>
      <c r="AD329" s="190">
        <f t="shared" si="191"/>
        <v>-5.5387125294237007</v>
      </c>
      <c r="AE329" s="169">
        <f t="shared" si="192"/>
        <v>-99.415362729022291</v>
      </c>
      <c r="AF329" s="98" t="str">
        <f t="shared" si="178"/>
        <v>-0.0000366300366300366</v>
      </c>
      <c r="AG329" s="98" t="str">
        <f t="shared" si="179"/>
        <v>0.00558507435207351i</v>
      </c>
      <c r="AH329" s="98">
        <f t="shared" si="193"/>
        <v>5.5850743520735099E-3</v>
      </c>
      <c r="AI329" s="98">
        <f t="shared" si="194"/>
        <v>1.5707963267948966</v>
      </c>
      <c r="AJ329" s="98" t="str">
        <f t="shared" si="180"/>
        <v>1+0.797700180510395i</v>
      </c>
      <c r="AK329" s="98">
        <f t="shared" si="195"/>
        <v>1.2791894222461022</v>
      </c>
      <c r="AL329" s="98">
        <f t="shared" si="196"/>
        <v>0.67333703920069088</v>
      </c>
      <c r="AM329" s="98" t="str">
        <f t="shared" si="181"/>
        <v>1+55.0413124552171i</v>
      </c>
      <c r="AN329" s="98">
        <f t="shared" si="197"/>
        <v>55.050395791427675</v>
      </c>
      <c r="AO329" s="98">
        <f t="shared" si="198"/>
        <v>1.5526301539748897</v>
      </c>
      <c r="AP329" s="168" t="str">
        <f t="shared" si="199"/>
        <v>-0.217413885634852+0.179989654274332i</v>
      </c>
      <c r="AQ329" s="98">
        <f t="shared" si="200"/>
        <v>-10.987320398608432</v>
      </c>
      <c r="AR329" s="169">
        <f t="shared" si="201"/>
        <v>140.37978443147384</v>
      </c>
      <c r="AS329" s="168" t="str">
        <f t="shared" si="202"/>
        <v>0.112645150033429+0.097798196451994i</v>
      </c>
      <c r="AT329" s="190">
        <f t="shared" si="203"/>
        <v>-16.526032928032144</v>
      </c>
      <c r="AU329" s="169">
        <f t="shared" si="204"/>
        <v>40.964421702451581</v>
      </c>
      <c r="AV329" s="225"/>
      <c r="AX329">
        <f t="shared" si="205"/>
        <v>0</v>
      </c>
      <c r="AY329">
        <f t="shared" si="206"/>
        <v>0</v>
      </c>
    </row>
    <row r="330" spans="14:51" x14ac:dyDescent="0.3">
      <c r="N330" s="170">
        <v>12</v>
      </c>
      <c r="O330" s="199">
        <f t="shared" si="208"/>
        <v>13182.567385564091</v>
      </c>
      <c r="P330" s="189" t="str">
        <f t="shared" si="173"/>
        <v>108.75</v>
      </c>
      <c r="Q330" s="160" t="str">
        <f t="shared" si="174"/>
        <v>1+210.218767790602i</v>
      </c>
      <c r="R330" s="160">
        <f t="shared" si="182"/>
        <v>210.22114625174851</v>
      </c>
      <c r="S330" s="160">
        <f t="shared" si="183"/>
        <v>1.5660394134718993</v>
      </c>
      <c r="T330" s="160" t="str">
        <f t="shared" si="175"/>
        <v>1+0.00778588028854084i</v>
      </c>
      <c r="U330" s="160">
        <f t="shared" si="184"/>
        <v>1.0000303095066008</v>
      </c>
      <c r="V330" s="160">
        <f t="shared" si="185"/>
        <v>7.7857229677519924E-3</v>
      </c>
      <c r="W330" s="98" t="str">
        <f t="shared" si="176"/>
        <v>1-0.0618452902352181i</v>
      </c>
      <c r="X330" s="160">
        <f t="shared" si="186"/>
        <v>1.0019105947759404</v>
      </c>
      <c r="Y330" s="160">
        <f t="shared" si="187"/>
        <v>-6.1766621249148328E-2</v>
      </c>
      <c r="Z330" s="98" t="str">
        <f t="shared" si="177"/>
        <v>0.996489734470396+0.11929367207859i</v>
      </c>
      <c r="AA330" s="160">
        <f t="shared" si="188"/>
        <v>1.0036048879428969</v>
      </c>
      <c r="AB330" s="160">
        <f t="shared" si="189"/>
        <v>0.1191468774953147</v>
      </c>
      <c r="AC330" s="171" t="str">
        <f t="shared" si="190"/>
        <v>-0.08654565585395-0.509151550914472i</v>
      </c>
      <c r="AD330" s="190">
        <f t="shared" si="191"/>
        <v>-5.7393553966854078</v>
      </c>
      <c r="AE330" s="169">
        <f t="shared" si="192"/>
        <v>-99.646939811575507</v>
      </c>
      <c r="AF330" s="98" t="str">
        <f t="shared" si="178"/>
        <v>-0.0000366300366300366</v>
      </c>
      <c r="AG330" s="98" t="str">
        <f t="shared" si="179"/>
        <v>0.0057151674458438i</v>
      </c>
      <c r="AH330" s="98">
        <f t="shared" si="193"/>
        <v>5.7151674458438004E-3</v>
      </c>
      <c r="AI330" s="98">
        <f t="shared" si="194"/>
        <v>1.5707963267948966</v>
      </c>
      <c r="AJ330" s="98" t="str">
        <f t="shared" si="180"/>
        <v>1+0.81628100465738i</v>
      </c>
      <c r="AK330" s="98">
        <f t="shared" si="195"/>
        <v>1.2908581171315698</v>
      </c>
      <c r="AL330" s="98">
        <f t="shared" si="196"/>
        <v>0.68458984357909991</v>
      </c>
      <c r="AM330" s="98" t="str">
        <f t="shared" si="181"/>
        <v>1+56.3233893213591i</v>
      </c>
      <c r="AN330" s="98">
        <f t="shared" si="197"/>
        <v>56.332265928554556</v>
      </c>
      <c r="AO330" s="98">
        <f t="shared" si="198"/>
        <v>1.5530435786651224</v>
      </c>
      <c r="AP330" s="168" t="str">
        <f t="shared" si="199"/>
        <v>-0.213501031137882+0.180686103633534i</v>
      </c>
      <c r="AQ330" s="98">
        <f t="shared" si="200"/>
        <v>-11.066257907112618</v>
      </c>
      <c r="AR330" s="169">
        <f t="shared" si="201"/>
        <v>139.75873372280157</v>
      </c>
      <c r="AS330" s="168" t="str">
        <f t="shared" si="202"/>
        <v>0.110474196659029+0.0930667837830326i</v>
      </c>
      <c r="AT330" s="190">
        <f t="shared" si="203"/>
        <v>-16.805613303798047</v>
      </c>
      <c r="AU330" s="169">
        <f t="shared" si="204"/>
        <v>40.111793911226158</v>
      </c>
      <c r="AV330" s="225"/>
      <c r="AX330">
        <f t="shared" si="205"/>
        <v>0</v>
      </c>
      <c r="AY330">
        <f t="shared" si="206"/>
        <v>0</v>
      </c>
    </row>
    <row r="331" spans="14:51" x14ac:dyDescent="0.3">
      <c r="N331" s="170">
        <v>13</v>
      </c>
      <c r="O331" s="199">
        <f t="shared" si="208"/>
        <v>13489.628825916556</v>
      </c>
      <c r="P331" s="189" t="str">
        <f t="shared" si="173"/>
        <v>108.75</v>
      </c>
      <c r="Q331" s="160" t="str">
        <f t="shared" si="174"/>
        <v>1+215.115391926018i</v>
      </c>
      <c r="R331" s="160">
        <f t="shared" si="182"/>
        <v>215.11771624737074</v>
      </c>
      <c r="S331" s="160">
        <f t="shared" si="183"/>
        <v>1.5661476924606947</v>
      </c>
      <c r="T331" s="160" t="str">
        <f t="shared" si="175"/>
        <v>1+0.0079672367380007i</v>
      </c>
      <c r="U331" s="160">
        <f t="shared" si="184"/>
        <v>1.0000317379269716</v>
      </c>
      <c r="V331" s="160">
        <f t="shared" si="185"/>
        <v>7.9670681660272778E-3</v>
      </c>
      <c r="W331" s="98" t="str">
        <f t="shared" si="176"/>
        <v>1-0.063285852103268i</v>
      </c>
      <c r="X331" s="160">
        <f t="shared" si="186"/>
        <v>1.0020005484411856</v>
      </c>
      <c r="Y331" s="160">
        <f t="shared" si="187"/>
        <v>-6.3201565853013716E-2</v>
      </c>
      <c r="Z331" s="98" t="str">
        <f t="shared" si="177"/>
        <v>0.996324300752713+0.12207237866146i</v>
      </c>
      <c r="AA331" s="160">
        <f t="shared" si="188"/>
        <v>1.0037747645276054</v>
      </c>
      <c r="AB331" s="160">
        <f t="shared" si="189"/>
        <v>0.12191510262921566</v>
      </c>
      <c r="AC331" s="171" t="str">
        <f t="shared" si="190"/>
        <v>-0.0866231742663062-0.497169747642946i</v>
      </c>
      <c r="AD331" s="190">
        <f t="shared" si="191"/>
        <v>-5.9400288691697618</v>
      </c>
      <c r="AE331" s="169">
        <f t="shared" si="192"/>
        <v>-99.883577312698378</v>
      </c>
      <c r="AF331" s="98" t="str">
        <f t="shared" si="178"/>
        <v>-0.0000366300366300366</v>
      </c>
      <c r="AG331" s="98" t="str">
        <f t="shared" si="179"/>
        <v>0.00584829079704305i</v>
      </c>
      <c r="AH331" s="98">
        <f t="shared" si="193"/>
        <v>5.8482907970430504E-3</v>
      </c>
      <c r="AI331" s="98">
        <f t="shared" si="194"/>
        <v>1.5707963267948966</v>
      </c>
      <c r="AJ331" s="98" t="str">
        <f t="shared" si="180"/>
        <v>1+0.835294631797791i</v>
      </c>
      <c r="AK331" s="98">
        <f t="shared" si="195"/>
        <v>1.3029647431570077</v>
      </c>
      <c r="AL331" s="98">
        <f t="shared" si="196"/>
        <v>0.69589464789420741</v>
      </c>
      <c r="AM331" s="98" t="str">
        <f t="shared" si="181"/>
        <v>1+57.6353295940474i</v>
      </c>
      <c r="AN331" s="98">
        <f t="shared" si="197"/>
        <v>57.644004175755136</v>
      </c>
      <c r="AO331" s="98">
        <f t="shared" si="198"/>
        <v>1.5534475985251801</v>
      </c>
      <c r="AP331" s="168" t="str">
        <f t="shared" si="199"/>
        <v>-0.209551931521674+0.181300978185237i</v>
      </c>
      <c r="AQ331" s="98">
        <f t="shared" si="200"/>
        <v>-11.147402589873678</v>
      </c>
      <c r="AR331" s="169">
        <f t="shared" si="201"/>
        <v>139.13416478014537</v>
      </c>
      <c r="AS331" s="168" t="str">
        <f t="shared" si="202"/>
        <v>0.108289415053817+0.088478014684731i</v>
      </c>
      <c r="AT331" s="190">
        <f t="shared" si="203"/>
        <v>-17.087431459043422</v>
      </c>
      <c r="AU331" s="169">
        <f t="shared" si="204"/>
        <v>39.250587467446891</v>
      </c>
      <c r="AV331" s="225"/>
      <c r="AX331">
        <f t="shared" si="205"/>
        <v>0</v>
      </c>
      <c r="AY331">
        <f t="shared" si="206"/>
        <v>0</v>
      </c>
    </row>
    <row r="332" spans="14:51" x14ac:dyDescent="0.3">
      <c r="N332" s="170">
        <v>14</v>
      </c>
      <c r="O332" s="199">
        <f t="shared" si="208"/>
        <v>13803.842646028841</v>
      </c>
      <c r="P332" s="189" t="str">
        <f t="shared" si="173"/>
        <v>108.75</v>
      </c>
      <c r="Q332" s="160" t="str">
        <f t="shared" si="174"/>
        <v>1+220.126073089622i</v>
      </c>
      <c r="R332" s="160">
        <f t="shared" si="182"/>
        <v>220.12834450351369</v>
      </c>
      <c r="S332" s="160">
        <f t="shared" si="183"/>
        <v>1.5662535068241232</v>
      </c>
      <c r="T332" s="160" t="str">
        <f t="shared" si="175"/>
        <v>1+0.00815281752183788i</v>
      </c>
      <c r="U332" s="160">
        <f t="shared" si="184"/>
        <v>1.0000332336645339</v>
      </c>
      <c r="V332" s="160">
        <f t="shared" si="185"/>
        <v>8.1526368940382371E-3</v>
      </c>
      <c r="W332" s="98" t="str">
        <f t="shared" si="176"/>
        <v>1-0.0647599689677903i</v>
      </c>
      <c r="X332" s="160">
        <f t="shared" si="186"/>
        <v>1.0020947328375243</v>
      </c>
      <c r="Y332" s="160">
        <f t="shared" si="187"/>
        <v>-6.4669664816629266E-2</v>
      </c>
      <c r="Z332" s="98" t="str">
        <f t="shared" si="177"/>
        <v>0.996151070384117+0.124915809635314i</v>
      </c>
      <c r="AA332" s="160">
        <f t="shared" si="188"/>
        <v>1.0039526455586778</v>
      </c>
      <c r="AB332" s="160">
        <f t="shared" si="189"/>
        <v>0.12474730462123913</v>
      </c>
      <c r="AC332" s="171" t="str">
        <f t="shared" si="190"/>
        <v>-0.0866941525609073-0.48545175001565i</v>
      </c>
      <c r="AD332" s="190">
        <f t="shared" si="191"/>
        <v>-6.1407343586314855</v>
      </c>
      <c r="AE332" s="169">
        <f t="shared" si="192"/>
        <v>-100.12539681960426</v>
      </c>
      <c r="AF332" s="98" t="str">
        <f t="shared" si="178"/>
        <v>-0.0000366300366300366</v>
      </c>
      <c r="AG332" s="98" t="str">
        <f t="shared" si="179"/>
        <v>0.00598451498943417i</v>
      </c>
      <c r="AH332" s="98">
        <f t="shared" si="193"/>
        <v>5.9845149894341698E-3</v>
      </c>
      <c r="AI332" s="98">
        <f t="shared" si="194"/>
        <v>1.5707963267948966</v>
      </c>
      <c r="AJ332" s="98" t="str">
        <f t="shared" si="180"/>
        <v>1+0.85475114320841i</v>
      </c>
      <c r="AK332" s="98">
        <f t="shared" si="195"/>
        <v>1.315522526153043</v>
      </c>
      <c r="AL332" s="98">
        <f t="shared" si="196"/>
        <v>0.70724588894434071</v>
      </c>
      <c r="AM332" s="98" t="str">
        <f t="shared" si="181"/>
        <v>1+58.9778288813801i</v>
      </c>
      <c r="AN332" s="98">
        <f t="shared" si="197"/>
        <v>58.986306034208923</v>
      </c>
      <c r="AO332" s="98">
        <f t="shared" si="198"/>
        <v>1.5538424272438458</v>
      </c>
      <c r="AP332" s="168" t="str">
        <f t="shared" si="199"/>
        <v>-0.205570323241636+0.181832271688415i</v>
      </c>
      <c r="AQ332" s="98">
        <f t="shared" si="200"/>
        <v>-11.230773909783744</v>
      </c>
      <c r="AR332" s="169">
        <f t="shared" si="201"/>
        <v>138.50640859494723</v>
      </c>
      <c r="AS332" s="168" t="str">
        <f t="shared" si="202"/>
        <v>0.106092539465568+0.0840306784666832i</v>
      </c>
      <c r="AT332" s="190">
        <f t="shared" si="203"/>
        <v>-17.371508268415209</v>
      </c>
      <c r="AU332" s="169">
        <f t="shared" si="204"/>
        <v>38.381011775342856</v>
      </c>
      <c r="AV332" s="225"/>
      <c r="AX332">
        <f t="shared" si="205"/>
        <v>0</v>
      </c>
      <c r="AY332">
        <f t="shared" si="206"/>
        <v>0</v>
      </c>
    </row>
    <row r="333" spans="14:51" x14ac:dyDescent="0.3">
      <c r="N333" s="170">
        <v>15</v>
      </c>
      <c r="O333" s="199">
        <f t="shared" si="208"/>
        <v>14125.375446227561</v>
      </c>
      <c r="P333" s="189" t="str">
        <f t="shared" si="173"/>
        <v>108.75</v>
      </c>
      <c r="Q333" s="160" t="str">
        <f t="shared" si="174"/>
        <v>1+225.253468010892i</v>
      </c>
      <c r="R333" s="160">
        <f t="shared" si="182"/>
        <v>225.25568772160659</v>
      </c>
      <c r="S333" s="160">
        <f t="shared" si="183"/>
        <v>1.5663569126568775</v>
      </c>
      <c r="T333" s="160" t="str">
        <f t="shared" si="175"/>
        <v>1+0.00834272103744046i</v>
      </c>
      <c r="U333" s="160">
        <f t="shared" si="184"/>
        <v>1.0000347998916381</v>
      </c>
      <c r="V333" s="160">
        <f t="shared" si="185"/>
        <v>8.3425274916298364E-3</v>
      </c>
      <c r="W333" s="98" t="str">
        <f t="shared" si="176"/>
        <v>1-0.066268422425059i</v>
      </c>
      <c r="X333" s="160">
        <f t="shared" si="186"/>
        <v>1.0021933465208728</v>
      </c>
      <c r="Y333" s="160">
        <f t="shared" si="187"/>
        <v>-6.6171671217507833E-2</v>
      </c>
      <c r="Z333" s="98" t="str">
        <f t="shared" si="177"/>
        <v>0.99596967591977+0.127825472624894i</v>
      </c>
      <c r="AA333" s="160">
        <f t="shared" si="188"/>
        <v>1.0041389081215353</v>
      </c>
      <c r="AB333" s="160">
        <f t="shared" si="189"/>
        <v>0.12764493788756007</v>
      </c>
      <c r="AC333" s="171" t="str">
        <f t="shared" si="190"/>
        <v>-0.0867587439353428-0.473991365484202i</v>
      </c>
      <c r="AD333" s="190">
        <f t="shared" si="191"/>
        <v>-6.3414733431287118</v>
      </c>
      <c r="AE333" s="169">
        <f t="shared" si="192"/>
        <v>-100.37252239189576</v>
      </c>
      <c r="AF333" s="98" t="str">
        <f t="shared" si="178"/>
        <v>-0.0000366300366300366</v>
      </c>
      <c r="AG333" s="98" t="str">
        <f t="shared" si="179"/>
        <v>0.00612391225088713i</v>
      </c>
      <c r="AH333" s="98">
        <f t="shared" si="193"/>
        <v>6.1239122508871301E-3</v>
      </c>
      <c r="AI333" s="98">
        <f t="shared" si="194"/>
        <v>1.5707963267948966</v>
      </c>
      <c r="AJ333" s="98" t="str">
        <f t="shared" si="180"/>
        <v>1+0.874660854989131i</v>
      </c>
      <c r="AK333" s="98">
        <f t="shared" si="195"/>
        <v>1.3285449225563726</v>
      </c>
      <c r="AL333" s="98">
        <f t="shared" si="196"/>
        <v>0.7186378852049099</v>
      </c>
      <c r="AM333" s="98" t="str">
        <f t="shared" si="181"/>
        <v>1+60.3515989942499i</v>
      </c>
      <c r="AN333" s="98">
        <f t="shared" si="197"/>
        <v>60.359883210313988</v>
      </c>
      <c r="AO333" s="98">
        <f t="shared" si="198"/>
        <v>1.5542282736718522</v>
      </c>
      <c r="AP333" s="168" t="str">
        <f t="shared" si="199"/>
        <v>-0.201560073942068+0.182278183010035i</v>
      </c>
      <c r="AQ333" s="98">
        <f t="shared" si="200"/>
        <v>-11.316389185799709</v>
      </c>
      <c r="AR333" s="169">
        <f t="shared" si="201"/>
        <v>137.87580266085286</v>
      </c>
      <c r="AS333" s="168" t="str">
        <f t="shared" si="202"/>
        <v>0.103885383705634+0.0797235084701304i</v>
      </c>
      <c r="AT333" s="190">
        <f t="shared" si="203"/>
        <v>-17.65786252892844</v>
      </c>
      <c r="AU333" s="169">
        <f t="shared" si="204"/>
        <v>37.503280268957219</v>
      </c>
      <c r="AV333" s="225"/>
      <c r="AX333">
        <f t="shared" si="205"/>
        <v>0</v>
      </c>
      <c r="AY333">
        <f t="shared" si="206"/>
        <v>0</v>
      </c>
    </row>
    <row r="334" spans="14:51" x14ac:dyDescent="0.3">
      <c r="N334" s="170">
        <v>16</v>
      </c>
      <c r="O334" s="199">
        <f t="shared" si="208"/>
        <v>14454.397707459291</v>
      </c>
      <c r="P334" s="189" t="str">
        <f t="shared" si="173"/>
        <v>108.75</v>
      </c>
      <c r="Q334" s="160" t="str">
        <f t="shared" si="174"/>
        <v>1+230.500295302482i</v>
      </c>
      <c r="R334" s="160">
        <f t="shared" si="182"/>
        <v>230.50246448689305</v>
      </c>
      <c r="S334" s="160">
        <f t="shared" si="183"/>
        <v>1.5664579647772479</v>
      </c>
      <c r="T334" s="160" t="str">
        <f t="shared" si="175"/>
        <v>1+0.00853704797416604i</v>
      </c>
      <c r="U334" s="160">
        <f t="shared" si="184"/>
        <v>1.0000364399301223</v>
      </c>
      <c r="V334" s="160">
        <f t="shared" si="185"/>
        <v>8.536840586501648E-3</v>
      </c>
      <c r="W334" s="98" t="str">
        <f t="shared" si="176"/>
        <v>1-0.0678120122770636i</v>
      </c>
      <c r="X334" s="160">
        <f t="shared" si="186"/>
        <v>1.0022965973248958</v>
      </c>
      <c r="Y334" s="160">
        <f t="shared" si="187"/>
        <v>-6.7708354315565822E-2</v>
      </c>
      <c r="Z334" s="98" t="str">
        <f t="shared" si="177"/>
        <v>0.995779732597694+0.130802910372029i</v>
      </c>
      <c r="AA334" s="160">
        <f t="shared" si="188"/>
        <v>1.0043339470585109</v>
      </c>
      <c r="AB334" s="160">
        <f t="shared" si="189"/>
        <v>0.1306094881868875</v>
      </c>
      <c r="AC334" s="171" t="str">
        <f t="shared" si="190"/>
        <v>-0.0868170882969674-0.4627825391025i</v>
      </c>
      <c r="AD334" s="190">
        <f t="shared" si="191"/>
        <v>-6.5422473700053283</v>
      </c>
      <c r="AE334" s="169">
        <f t="shared" si="192"/>
        <v>-100.62508060793708</v>
      </c>
      <c r="AF334" s="98" t="str">
        <f t="shared" si="178"/>
        <v>-0.0000366300366300366</v>
      </c>
      <c r="AG334" s="98" t="str">
        <f t="shared" si="179"/>
        <v>0.00626655649167506i</v>
      </c>
      <c r="AH334" s="98">
        <f t="shared" si="193"/>
        <v>6.2665564916750604E-3</v>
      </c>
      <c r="AI334" s="98">
        <f t="shared" si="194"/>
        <v>1.5707963267948966</v>
      </c>
      <c r="AJ334" s="98" t="str">
        <f t="shared" si="180"/>
        <v>1+0.89503432353267i</v>
      </c>
      <c r="AK334" s="98">
        <f t="shared" si="195"/>
        <v>1.3420456178169147</v>
      </c>
      <c r="AL334" s="98">
        <f t="shared" si="196"/>
        <v>0.73006485033877422</v>
      </c>
      <c r="AM334" s="98" t="str">
        <f t="shared" si="181"/>
        <v>1+61.7573683237541i</v>
      </c>
      <c r="AN334" s="98">
        <f t="shared" si="197"/>
        <v>61.765463993042474</v>
      </c>
      <c r="AO334" s="98">
        <f t="shared" si="198"/>
        <v>1.5546053419302681</v>
      </c>
      <c r="AP334" s="168" t="str">
        <f t="shared" si="199"/>
        <v>-0.197525168205769+0.182637126684175i</v>
      </c>
      <c r="AQ334" s="98">
        <f t="shared" si="200"/>
        <v>-11.40426352341149</v>
      </c>
      <c r="AR334" s="169">
        <f t="shared" si="201"/>
        <v>137.24269020583469</v>
      </c>
      <c r="AS334" s="168" t="str">
        <f t="shared" si="202"/>
        <v>0.101669833190281+0.0755551753252697i</v>
      </c>
      <c r="AT334" s="190">
        <f t="shared" si="203"/>
        <v>-17.946510893416821</v>
      </c>
      <c r="AU334" s="169">
        <f t="shared" si="204"/>
        <v>36.617609597897612</v>
      </c>
      <c r="AV334" s="225"/>
      <c r="AX334">
        <f t="shared" si="205"/>
        <v>0</v>
      </c>
      <c r="AY334">
        <f t="shared" si="206"/>
        <v>0</v>
      </c>
    </row>
    <row r="335" spans="14:51" x14ac:dyDescent="0.3">
      <c r="N335" s="170">
        <v>17</v>
      </c>
      <c r="O335" s="199">
        <f t="shared" si="208"/>
        <v>14791.083881682089</v>
      </c>
      <c r="P335" s="189" t="str">
        <f t="shared" si="173"/>
        <v>108.75</v>
      </c>
      <c r="Q335" s="160" t="str">
        <f t="shared" si="174"/>
        <v>1+235.869336901675i</v>
      </c>
      <c r="R335" s="160">
        <f t="shared" si="182"/>
        <v>235.87145670986956</v>
      </c>
      <c r="S335" s="160">
        <f t="shared" si="183"/>
        <v>1.5665567167561463</v>
      </c>
      <c r="T335" s="160" t="str">
        <f t="shared" si="175"/>
        <v>1+0.00873590136672872i</v>
      </c>
      <c r="U335" s="160">
        <f t="shared" si="184"/>
        <v>1.0000381572583565</v>
      </c>
      <c r="V335" s="160">
        <f t="shared" si="185"/>
        <v>8.7356791473005933E-3</v>
      </c>
      <c r="W335" s="98" t="str">
        <f t="shared" si="176"/>
        <v>1-0.0693915569555757i</v>
      </c>
      <c r="X335" s="160">
        <f t="shared" si="186"/>
        <v>1.0024047027906038</v>
      </c>
      <c r="Y335" s="160">
        <f t="shared" si="187"/>
        <v>-6.9280499834462286E-2</v>
      </c>
      <c r="Z335" s="98" t="str">
        <f t="shared" si="177"/>
        <v>0.995580837522637+0.133849701553625i</v>
      </c>
      <c r="AA335" s="160">
        <f t="shared" si="188"/>
        <v>1.0045381758043195</v>
      </c>
      <c r="AB335" s="160">
        <f t="shared" si="189"/>
        <v>0.13364247317224204</v>
      </c>
      <c r="AC335" s="171" t="str">
        <f t="shared" si="190"/>
        <v>-0.0868693125835976-0.451819350414344i</v>
      </c>
      <c r="AD335" s="190">
        <f t="shared" si="191"/>
        <v>-6.7430580590039746</v>
      </c>
      <c r="AE335" s="169">
        <f t="shared" si="192"/>
        <v>-100.88320061120884</v>
      </c>
      <c r="AF335" s="98" t="str">
        <f t="shared" si="178"/>
        <v>-0.0000366300366300366</v>
      </c>
      <c r="AG335" s="98" t="str">
        <f t="shared" si="179"/>
        <v>0.00641252334366255i</v>
      </c>
      <c r="AH335" s="98">
        <f t="shared" si="193"/>
        <v>6.4125233436625496E-3</v>
      </c>
      <c r="AI335" s="98">
        <f t="shared" si="194"/>
        <v>1.5707963267948966</v>
      </c>
      <c r="AJ335" s="98" t="str">
        <f t="shared" si="180"/>
        <v>1+0.915882351121727i</v>
      </c>
      <c r="AK335" s="98">
        <f t="shared" si="195"/>
        <v>1.3560385249307125</v>
      </c>
      <c r="AL335" s="98">
        <f t="shared" si="196"/>
        <v>0.74152090735460607</v>
      </c>
      <c r="AM335" s="98" t="str">
        <f t="shared" si="181"/>
        <v>1+63.195882227399i</v>
      </c>
      <c r="AN335" s="98">
        <f t="shared" si="197"/>
        <v>63.203793640091611</v>
      </c>
      <c r="AO335" s="98">
        <f t="shared" si="198"/>
        <v>1.5549738315165353</v>
      </c>
      <c r="AP335" s="168" t="str">
        <f t="shared" si="199"/>
        <v>-0.193469692303928+0.182907742277586i</v>
      </c>
      <c r="AQ335" s="98">
        <f t="shared" si="200"/>
        <v>-11.494409753396146</v>
      </c>
      <c r="AR335" s="169">
        <f t="shared" si="201"/>
        <v>136.60741938705402</v>
      </c>
      <c r="AS335" s="168" t="str">
        <f t="shared" si="202"/>
        <v>0.0994478364778155+0.071524280863752i</v>
      </c>
      <c r="AT335" s="190">
        <f t="shared" si="203"/>
        <v>-18.237467812400126</v>
      </c>
      <c r="AU335" s="169">
        <f t="shared" si="204"/>
        <v>35.724218775845166</v>
      </c>
      <c r="AV335" s="225"/>
      <c r="AX335">
        <f t="shared" si="205"/>
        <v>0</v>
      </c>
      <c r="AY335">
        <f t="shared" si="206"/>
        <v>0</v>
      </c>
    </row>
    <row r="336" spans="14:51" x14ac:dyDescent="0.3">
      <c r="N336" s="170">
        <v>18</v>
      </c>
      <c r="O336" s="199">
        <f t="shared" si="208"/>
        <v>15135.612484362096</v>
      </c>
      <c r="P336" s="189" t="str">
        <f t="shared" si="173"/>
        <v>108.75</v>
      </c>
      <c r="Q336" s="160" t="str">
        <f t="shared" si="174"/>
        <v>1+241.363439545392i</v>
      </c>
      <c r="R336" s="160">
        <f t="shared" si="182"/>
        <v>241.36551110127994</v>
      </c>
      <c r="S336" s="160">
        <f t="shared" si="183"/>
        <v>1.5666532209454707</v>
      </c>
      <c r="T336" s="160" t="str">
        <f t="shared" si="175"/>
        <v>1+0.00893938664982936i</v>
      </c>
      <c r="U336" s="160">
        <f t="shared" si="184"/>
        <v>1.0000399555186159</v>
      </c>
      <c r="V336" s="160">
        <f t="shared" si="185"/>
        <v>8.9391485379359346E-3</v>
      </c>
      <c r="W336" s="98" t="str">
        <f t="shared" si="176"/>
        <v>1-0.0710078939560914i</v>
      </c>
      <c r="X336" s="160">
        <f t="shared" si="186"/>
        <v>1.0025178906154639</v>
      </c>
      <c r="Y336" s="160">
        <f t="shared" si="187"/>
        <v>-7.0888910242845077E-2</v>
      </c>
      <c r="Z336" s="98" t="str">
        <f t="shared" si="177"/>
        <v>0.995372568811478+0.136967461618695i</v>
      </c>
      <c r="AA336" s="160">
        <f t="shared" si="188"/>
        <v>1.0047520272607711</v>
      </c>
      <c r="AB336" s="160">
        <f t="shared" si="189"/>
        <v>0.1367454429431853</v>
      </c>
      <c r="AC336" s="171" t="str">
        <f t="shared" si="190"/>
        <v>-0.0869155310589681-0.441096010417047i</v>
      </c>
      <c r="AD336" s="190">
        <f t="shared" si="191"/>
        <v>-6.9439071055177468</v>
      </c>
      <c r="AE336" s="169">
        <f t="shared" si="192"/>
        <v>-101.14701415657591</v>
      </c>
      <c r="AF336" s="98" t="str">
        <f t="shared" si="178"/>
        <v>-0.0000366300366300366</v>
      </c>
      <c r="AG336" s="98" t="str">
        <f t="shared" si="179"/>
        <v>0.00656189020040664i</v>
      </c>
      <c r="AH336" s="98">
        <f t="shared" si="193"/>
        <v>6.56189020040664E-3</v>
      </c>
      <c r="AI336" s="98">
        <f t="shared" si="194"/>
        <v>1.5707963267948966</v>
      </c>
      <c r="AJ336" s="98" t="str">
        <f t="shared" si="180"/>
        <v>1+0.937215991656484i</v>
      </c>
      <c r="AK336" s="98">
        <f t="shared" si="195"/>
        <v>1.3705377831408541</v>
      </c>
      <c r="AL336" s="98">
        <f t="shared" si="196"/>
        <v>0.75300010333234779</v>
      </c>
      <c r="AM336" s="98" t="str">
        <f t="shared" si="181"/>
        <v>1+64.6679034242972i</v>
      </c>
      <c r="AN336" s="98">
        <f t="shared" si="197"/>
        <v>64.675634773028932</v>
      </c>
      <c r="AO336" s="98">
        <f t="shared" si="198"/>
        <v>1.5553339374081987</v>
      </c>
      <c r="AP336" s="168" t="str">
        <f t="shared" si="199"/>
        <v>-0.189397818064531+0.183088902454253i</v>
      </c>
      <c r="AQ336" s="98">
        <f t="shared" si="200"/>
        <v>-11.586838379387462</v>
      </c>
      <c r="AR336" s="169">
        <f t="shared" si="201"/>
        <v>135.97034245309604</v>
      </c>
      <c r="AS336" s="168" t="str">
        <f t="shared" si="202"/>
        <v>0.0972213963626954+0.0676293527421433i</v>
      </c>
      <c r="AT336" s="190">
        <f t="shared" si="203"/>
        <v>-18.530745484905211</v>
      </c>
      <c r="AU336" s="169">
        <f t="shared" si="204"/>
        <v>34.823328296520103</v>
      </c>
      <c r="AV336" s="225"/>
      <c r="AX336">
        <f t="shared" si="205"/>
        <v>0</v>
      </c>
      <c r="AY336">
        <f t="shared" si="206"/>
        <v>0</v>
      </c>
    </row>
    <row r="337" spans="14:51" x14ac:dyDescent="0.3">
      <c r="N337" s="170">
        <v>19</v>
      </c>
      <c r="O337" s="199">
        <f t="shared" si="208"/>
        <v>15488.166189124853</v>
      </c>
      <c r="P337" s="189" t="str">
        <f t="shared" si="173"/>
        <v>108.75</v>
      </c>
      <c r="Q337" s="160" t="str">
        <f t="shared" si="174"/>
        <v>1+246.985516279579i</v>
      </c>
      <c r="R337" s="160">
        <f t="shared" si="182"/>
        <v>246.98754068148901</v>
      </c>
      <c r="S337" s="160">
        <f t="shared" si="183"/>
        <v>1.5667475285058252</v>
      </c>
      <c r="T337" s="160" t="str">
        <f t="shared" si="175"/>
        <v>1+0.00914761171405852i</v>
      </c>
      <c r="U337" s="160">
        <f t="shared" si="184"/>
        <v>1.0000418385248044</v>
      </c>
      <c r="V337" s="160">
        <f t="shared" si="185"/>
        <v>9.1473565731444127E-3</v>
      </c>
      <c r="W337" s="98" t="str">
        <f t="shared" si="176"/>
        <v>1-0.0726618802818834i</v>
      </c>
      <c r="X337" s="160">
        <f t="shared" si="186"/>
        <v>1.0026363991228817</v>
      </c>
      <c r="Y337" s="160">
        <f t="shared" si="187"/>
        <v>-7.2534405035053581E-2</v>
      </c>
      <c r="Z337" s="98" t="str">
        <f t="shared" si="177"/>
        <v>0.995154484698357+0.140157843644894i</v>
      </c>
      <c r="AA337" s="160">
        <f t="shared" si="188"/>
        <v>1.0049759547125687</v>
      </c>
      <c r="AB337" s="160">
        <f t="shared" si="189"/>
        <v>0.13991998059769103</v>
      </c>
      <c r="AC337" s="171" t="str">
        <f t="shared" si="190"/>
        <v>-0.0869558455838041-0.430606858599936i</v>
      </c>
      <c r="AD337" s="190">
        <f t="shared" si="191"/>
        <v>-7.1447962839844124</v>
      </c>
      <c r="AE337" s="169">
        <f t="shared" si="192"/>
        <v>-101.41665565639511</v>
      </c>
      <c r="AF337" s="98" t="str">
        <f t="shared" si="178"/>
        <v>-0.0000366300366300366</v>
      </c>
      <c r="AG337" s="98" t="str">
        <f t="shared" si="179"/>
        <v>0.00671473625819188i</v>
      </c>
      <c r="AH337" s="98">
        <f t="shared" si="193"/>
        <v>6.71473625819188E-3</v>
      </c>
      <c r="AI337" s="98">
        <f t="shared" si="194"/>
        <v>1.5707963267948966</v>
      </c>
      <c r="AJ337" s="98" t="str">
        <f t="shared" si="180"/>
        <v>1+0.959046556515539i</v>
      </c>
      <c r="AK337" s="98">
        <f t="shared" si="195"/>
        <v>1.3855577568489568</v>
      </c>
      <c r="AL337" s="98">
        <f t="shared" si="196"/>
        <v>0.76449642462841927</v>
      </c>
      <c r="AM337" s="98" t="str">
        <f t="shared" si="181"/>
        <v>1+66.174212399572i</v>
      </c>
      <c r="AN337" s="98">
        <f t="shared" si="197"/>
        <v>66.181767781645632</v>
      </c>
      <c r="AO337" s="98">
        <f t="shared" si="198"/>
        <v>1.5556858501643767</v>
      </c>
      <c r="AP337" s="168" t="str">
        <f t="shared" si="199"/>
        <v>-0.185313785990473+0.183179719644998i</v>
      </c>
      <c r="AQ337" s="98">
        <f t="shared" si="200"/>
        <v>-11.681557534720996</v>
      </c>
      <c r="AR337" s="169">
        <f t="shared" si="201"/>
        <v>135.33181487859036</v>
      </c>
      <c r="AS337" s="168" t="str">
        <f t="shared" si="202"/>
        <v>0.0949925605946873+0.0638688398250834i</v>
      </c>
      <c r="AT337" s="190">
        <f t="shared" si="203"/>
        <v>-18.826353818705407</v>
      </c>
      <c r="AU337" s="169">
        <f t="shared" si="204"/>
        <v>33.915159222195228</v>
      </c>
      <c r="AV337" s="225"/>
      <c r="AX337">
        <f t="shared" si="205"/>
        <v>0</v>
      </c>
      <c r="AY337">
        <f t="shared" si="206"/>
        <v>0</v>
      </c>
    </row>
    <row r="338" spans="14:51" x14ac:dyDescent="0.3">
      <c r="N338" s="170">
        <v>20</v>
      </c>
      <c r="O338" s="199">
        <f t="shared" si="208"/>
        <v>15848.931924611146</v>
      </c>
      <c r="P338" s="189" t="str">
        <f t="shared" si="173"/>
        <v>108.75</v>
      </c>
      <c r="Q338" s="160" t="str">
        <f t="shared" si="174"/>
        <v>1+252.738548003737i</v>
      </c>
      <c r="R338" s="160">
        <f t="shared" si="182"/>
        <v>252.74052632499854</v>
      </c>
      <c r="S338" s="160">
        <f t="shared" si="183"/>
        <v>1.566839689433613</v>
      </c>
      <c r="T338" s="160" t="str">
        <f t="shared" si="175"/>
        <v>1+0.00936068696310141i</v>
      </c>
      <c r="U338" s="160">
        <f t="shared" si="184"/>
        <v>1.0000438102705407</v>
      </c>
      <c r="V338" s="160">
        <f t="shared" si="185"/>
        <v>9.3604135753332304E-3</v>
      </c>
      <c r="W338" s="98" t="str">
        <f t="shared" si="176"/>
        <v>1-0.0743543928983942i</v>
      </c>
      <c r="X338" s="160">
        <f t="shared" si="186"/>
        <v>1.0027604777529322</v>
      </c>
      <c r="Y338" s="160">
        <f t="shared" si="187"/>
        <v>-7.4217821010779769E-2</v>
      </c>
      <c r="Z338" s="98" t="str">
        <f t="shared" si="177"/>
        <v>0.994926122597632+0.143422539215001i</v>
      </c>
      <c r="AA338" s="160">
        <f t="shared" si="188"/>
        <v>1.0052104327861091</v>
      </c>
      <c r="AB338" s="160">
        <f t="shared" si="189"/>
        <v>0.1431677027827406</v>
      </c>
      <c r="AC338" s="171" t="str">
        <f t="shared" si="190"/>
        <v>-0.0869903458633043-0.420346360056602i</v>
      </c>
      <c r="AD338" s="190">
        <f t="shared" si="191"/>
        <v>-7.3457274514288997</v>
      </c>
      <c r="AE338" s="169">
        <f t="shared" si="192"/>
        <v>-101.69226222638056</v>
      </c>
      <c r="AF338" s="98" t="str">
        <f t="shared" si="178"/>
        <v>-0.0000366300366300366</v>
      </c>
      <c r="AG338" s="98" t="str">
        <f t="shared" si="179"/>
        <v>0.00687114255802123i</v>
      </c>
      <c r="AH338" s="98">
        <f t="shared" si="193"/>
        <v>6.8711425580212301E-3</v>
      </c>
      <c r="AI338" s="98">
        <f t="shared" si="194"/>
        <v>1.5707963267948966</v>
      </c>
      <c r="AJ338" s="98" t="str">
        <f t="shared" si="180"/>
        <v>1+0.981385620553338i</v>
      </c>
      <c r="AK338" s="98">
        <f t="shared" si="195"/>
        <v>1.4011130347794429</v>
      </c>
      <c r="AL338" s="98">
        <f t="shared" si="196"/>
        <v>0.77600381246767525</v>
      </c>
      <c r="AM338" s="98" t="str">
        <f t="shared" si="181"/>
        <v>1+67.7156078181801i</v>
      </c>
      <c r="AN338" s="98">
        <f t="shared" si="197"/>
        <v>67.722991237729417</v>
      </c>
      <c r="AO338" s="98">
        <f t="shared" si="198"/>
        <v>1.5560297560250163</v>
      </c>
      <c r="AP338" s="168" t="str">
        <f t="shared" si="199"/>
        <v>-0.181221887769764+0.183179551243441i</v>
      </c>
      <c r="AQ338" s="98">
        <f t="shared" si="200"/>
        <v>-11.778572948936963</v>
      </c>
      <c r="AR338" s="169">
        <f t="shared" si="201"/>
        <v>134.69219447654524</v>
      </c>
      <c r="AS338" s="168" t="str">
        <f t="shared" si="202"/>
        <v>0.0927634122970749+0.0602411083688545i</v>
      </c>
      <c r="AT338" s="190">
        <f t="shared" si="203"/>
        <v>-19.124300400365865</v>
      </c>
      <c r="AU338" s="169">
        <f t="shared" si="204"/>
        <v>32.99993225016469</v>
      </c>
      <c r="AV338" s="225"/>
      <c r="AX338">
        <f t="shared" si="205"/>
        <v>0</v>
      </c>
      <c r="AY338">
        <f t="shared" si="206"/>
        <v>0</v>
      </c>
    </row>
    <row r="339" spans="14:51" x14ac:dyDescent="0.3">
      <c r="N339" s="170">
        <v>21</v>
      </c>
      <c r="O339" s="199">
        <f t="shared" si="208"/>
        <v>16218.100973589309</v>
      </c>
      <c r="P339" s="189" t="str">
        <f t="shared" ref="P339:P402" si="209">COMPLEX(Adc,0)</f>
        <v>108.75</v>
      </c>
      <c r="Q339" s="160" t="str">
        <f t="shared" ref="Q339:Q402" si="210">IMSUM(COMPLEX(1,0),IMDIV(COMPLEX(0,2*PI()*O339),COMPLEX(wp_lf,0)))</f>
        <v>1+258.625585051437i</v>
      </c>
      <c r="R339" s="160">
        <f t="shared" si="182"/>
        <v>258.62751834094934</v>
      </c>
      <c r="S339" s="160">
        <f t="shared" si="183"/>
        <v>1.5669297525875119</v>
      </c>
      <c r="T339" s="160" t="str">
        <f t="shared" ref="T339:T402" si="211">IMSUM(COMPLEX(1,0),IMDIV(COMPLEX(0,2*PI()*O339),COMPLEX(wz_esr,0)))</f>
        <v>1+0.00957872537227546i</v>
      </c>
      <c r="U339" s="160">
        <f t="shared" si="184"/>
        <v>1.0000458749376238</v>
      </c>
      <c r="V339" s="160">
        <f t="shared" si="185"/>
        <v>9.5784324327298082E-3</v>
      </c>
      <c r="W339" s="98" t="str">
        <f t="shared" ref="W339:W402" si="212">IMSUB(COMPLEX(1,0),IMDIV(COMPLEX(0,2*PI()*O339),COMPLEX(wz_rhp,0)))</f>
        <v>1-0.0760863291982165i</v>
      </c>
      <c r="X339" s="160">
        <f t="shared" si="186"/>
        <v>1.0028903875752622</v>
      </c>
      <c r="Y339" s="160">
        <f t="shared" si="187"/>
        <v>-7.594001255315562E-2</v>
      </c>
      <c r="Z339" s="98" t="str">
        <f t="shared" ref="Z339:Z402" si="213">IF(Dc_Mode_Loop="CCM",IMSUM(COMPLEX(1,0),IMDIV(COMPLEX(0,2*PI()*O339),COMPLEX(Q*(wsl/2),0)),IMDIV(IMPOWER(COMPLEX(0,2*PI()*O339),2),IMPOWER(COMPLEX(wsl/2,0),2))),COMPLEX(1,0))</f>
        <v>0.994686998122671+0.146763279313822i</v>
      </c>
      <c r="AA339" s="160">
        <f t="shared" si="188"/>
        <v>1.0054559584532965</v>
      </c>
      <c r="AB339" s="160">
        <f t="shared" si="189"/>
        <v>0.14649026024266684</v>
      </c>
      <c r="AC339" s="171" t="str">
        <f t="shared" si="190"/>
        <v>-0.0870191096718032-0.410309102669764i</v>
      </c>
      <c r="AD339" s="190">
        <f t="shared" si="191"/>
        <v>-7.5467025511609549</v>
      </c>
      <c r="AE339" s="169">
        <f t="shared" si="192"/>
        <v>-101.97397373114029</v>
      </c>
      <c r="AF339" s="98" t="str">
        <f t="shared" ref="AF339:AF402" si="214">COMPLEX(Adc_ea,0)</f>
        <v>-0.0000366300366300366</v>
      </c>
      <c r="AG339" s="98" t="str">
        <f t="shared" ref="AG339:AG402" si="215">COMPLEX(0,2*PI()*O339*wp0_ea)</f>
        <v>0.00703119202858518i</v>
      </c>
      <c r="AH339" s="98">
        <f t="shared" si="193"/>
        <v>7.0311920285851797E-3</v>
      </c>
      <c r="AI339" s="98">
        <f t="shared" si="194"/>
        <v>1.5707963267948966</v>
      </c>
      <c r="AJ339" s="98" t="str">
        <f t="shared" ref="AJ339:AJ402" si="216">IMSUM(COMPLEX(1,0),IMDIV(COMPLEX(0,2*PI()*O339),COMPLEX(wp1_ea,0)))</f>
        <v>1+1.00424502823733i</v>
      </c>
      <c r="AK339" s="98">
        <f t="shared" si="195"/>
        <v>1.4172184294382415</v>
      </c>
      <c r="AL339" s="98">
        <f t="shared" si="196"/>
        <v>0.78751617882460612</v>
      </c>
      <c r="AM339" s="98" t="str">
        <f t="shared" ref="AM339:AM402" si="217">IMSUM(COMPLEX(1,0),IMDIV(COMPLEX(0,2*PI()*O339),COMPLEX(wz_ea,0)))</f>
        <v>1+69.2929069483754i</v>
      </c>
      <c r="AN339" s="98">
        <f t="shared" si="197"/>
        <v>69.300122318479453</v>
      </c>
      <c r="AO339" s="98">
        <f t="shared" si="198"/>
        <v>1.5563658370079767</v>
      </c>
      <c r="AP339" s="168" t="str">
        <f t="shared" si="199"/>
        <v>-0.177126448329369+0.183088003266339i</v>
      </c>
      <c r="AQ339" s="98">
        <f t="shared" si="200"/>
        <v>-11.877887924241666</v>
      </c>
      <c r="AR339" s="169">
        <f t="shared" si="201"/>
        <v>134.05184049398321</v>
      </c>
      <c r="AS339" s="168" t="str">
        <f t="shared" si="202"/>
        <v>0.0905360601627607+0.0567444390372807i</v>
      </c>
      <c r="AT339" s="190">
        <f t="shared" si="203"/>
        <v>-19.424590475402621</v>
      </c>
      <c r="AU339" s="169">
        <f t="shared" si="204"/>
        <v>32.07786676284293</v>
      </c>
      <c r="AV339" s="225"/>
      <c r="AX339">
        <f t="shared" si="205"/>
        <v>0</v>
      </c>
      <c r="AY339">
        <f t="shared" si="206"/>
        <v>0</v>
      </c>
    </row>
    <row r="340" spans="14:51" x14ac:dyDescent="0.3">
      <c r="N340" s="170">
        <v>22</v>
      </c>
      <c r="O340" s="199">
        <f t="shared" si="208"/>
        <v>16595.869074375616</v>
      </c>
      <c r="P340" s="189" t="str">
        <f t="shared" si="209"/>
        <v>108.75</v>
      </c>
      <c r="Q340" s="160" t="str">
        <f t="shared" si="210"/>
        <v>1+264.649748807646i</v>
      </c>
      <c r="R340" s="160">
        <f t="shared" ref="R340:R403" si="218">IMABS(Q340)</f>
        <v>264.65163809043418</v>
      </c>
      <c r="S340" s="160">
        <f t="shared" ref="S340:S403" si="219">IMARGUMENT(Q340)</f>
        <v>1.5670177657143505</v>
      </c>
      <c r="T340" s="160" t="str">
        <f t="shared" si="211"/>
        <v>1+0.00980184254843137i</v>
      </c>
      <c r="U340" s="160">
        <f t="shared" ref="U340:U403" si="220">IMABS(T340)</f>
        <v>1.0000480369049001</v>
      </c>
      <c r="V340" s="160">
        <f t="shared" ref="V340:V403" si="221">IMARGUMENT(T340)</f>
        <v>9.8015286588672545E-3</v>
      </c>
      <c r="W340" s="98" t="str">
        <f t="shared" si="212"/>
        <v>1-0.0778586074769017i</v>
      </c>
      <c r="X340" s="160">
        <f t="shared" ref="X340:X403" si="222">IMABS(W340)</f>
        <v>1.0030264018251176</v>
      </c>
      <c r="Y340" s="160">
        <f t="shared" ref="Y340:Y403" si="223">IMARGUMENT(W340)</f>
        <v>-7.7701851904678196E-2</v>
      </c>
      <c r="Z340" s="98" t="str">
        <f t="shared" si="213"/>
        <v>0.9944366040584+0.150181835245978i</v>
      </c>
      <c r="AA340" s="160">
        <f t="shared" ref="AA340:AA403" si="224">IMABS(Z340)</f>
        <v>1.005713052082478</v>
      </c>
      <c r="AB340" s="160">
        <f t="shared" ref="AB340:AB403" si="225">IMARGUMENT(Z340)</f>
        <v>0.14988933836416535</v>
      </c>
      <c r="AC340" s="171" t="str">
        <f t="shared" ref="AC340:AC403" si="226">(IMDIV(IMPRODUCT(P340,T340,W340),IMPRODUCT(Q340,Z340)))</f>
        <v>-0.0870422030553691-0.400489794367862i</v>
      </c>
      <c r="AD340" s="190">
        <f t="shared" ref="AD340:AD403" si="227">20*LOG(IMABS(AC340))</f>
        <v>-7.747723616631383</v>
      </c>
      <c r="AE340" s="169">
        <f t="shared" ref="AE340:AE403" si="228">(180/PI())*IMARGUMENT(AC340)</f>
        <v>-102.26193282928634</v>
      </c>
      <c r="AF340" s="98" t="str">
        <f t="shared" si="214"/>
        <v>-0.0000366300366300366</v>
      </c>
      <c r="AG340" s="98" t="str">
        <f t="shared" si="215"/>
        <v>0.00719496953023151i</v>
      </c>
      <c r="AH340" s="98">
        <f t="shared" ref="AH340:AH403" si="229">IMABS(AG340)</f>
        <v>7.1949695302315096E-3</v>
      </c>
      <c r="AI340" s="98">
        <f t="shared" ref="AI340:AI403" si="230">IMARGUMENT(AG340)</f>
        <v>1.5707963267948966</v>
      </c>
      <c r="AJ340" s="98" t="str">
        <f t="shared" si="216"/>
        <v>1+1.02763689992805i</v>
      </c>
      <c r="AK340" s="98">
        <f t="shared" ref="AK340:AK403" si="231">IMABS(AJ340)</f>
        <v>1.4338889769064178</v>
      </c>
      <c r="AL340" s="98">
        <f t="shared" ref="AL340:AL403" si="232">IMARGUMENT(AJ340)</f>
        <v>0.79902742249278413</v>
      </c>
      <c r="AM340" s="98" t="str">
        <f t="shared" si="217"/>
        <v>1+70.9069460950351i</v>
      </c>
      <c r="AN340" s="98">
        <f t="shared" ref="AN340:AN403" si="233">IMABS(AM340)</f>
        <v>70.913997239784848</v>
      </c>
      <c r="AO340" s="98">
        <f t="shared" ref="AO340:AO403" si="234">IMARGUMENT(AM340)</f>
        <v>1.5566942710039859</v>
      </c>
      <c r="AP340" s="168" t="str">
        <f t="shared" ref="AP340:AP403" si="235">IMPRODUCT(AF340,IMDIV(AM340,IMPRODUCT(AG340,AJ340)))</f>
        <v>-0.173031807591235+0.182904932434224i</v>
      </c>
      <c r="AQ340" s="98">
        <f t="shared" ref="AQ340:AQ403" si="236">20*LOG(IMABS(AP340))</f>
        <v>-11.979503322139212</v>
      </c>
      <c r="AR340" s="169">
        <f t="shared" ref="AR340:AR403" si="237">(180/PI())*IMARGUMENT(AP340)</f>
        <v>133.41111269666962</v>
      </c>
      <c r="AS340" s="168" t="str">
        <f t="shared" ref="AS340:AS403" si="238">IMPRODUCT(AC340,AP340)</f>
        <v>0.0883126285108439+0.0533770247725449i</v>
      </c>
      <c r="AT340" s="190">
        <f t="shared" ref="AT340:AT403" si="239">20*LOG(IMABS(AS340))</f>
        <v>-19.727226938770595</v>
      </c>
      <c r="AU340" s="169">
        <f t="shared" ref="AU340:AU403" si="240">(180/PI())*IMARGUMENT(AS340)</f>
        <v>31.149179867383296</v>
      </c>
      <c r="AV340" s="225"/>
      <c r="AX340">
        <f t="shared" ref="AX340:AX403" si="241">SUM((AT341&lt;0)*(AT340&gt;0))*O340</f>
        <v>0</v>
      </c>
      <c r="AY340">
        <f t="shared" ref="AY340:AY403" si="242">IF(AX340&gt;0,AU340,0)</f>
        <v>0</v>
      </c>
    </row>
    <row r="341" spans="14:51" x14ac:dyDescent="0.3">
      <c r="N341" s="170">
        <v>23</v>
      </c>
      <c r="O341" s="199">
        <f t="shared" si="208"/>
        <v>16982.436524617482</v>
      </c>
      <c r="P341" s="189" t="str">
        <f t="shared" si="209"/>
        <v>108.75</v>
      </c>
      <c r="Q341" s="160" t="str">
        <f t="shared" si="210"/>
        <v>1+270.814233363728i</v>
      </c>
      <c r="R341" s="160">
        <f t="shared" si="218"/>
        <v>270.81607964148611</v>
      </c>
      <c r="S341" s="160">
        <f t="shared" si="219"/>
        <v>1.5671037754743966</v>
      </c>
      <c r="T341" s="160" t="str">
        <f t="shared" si="211"/>
        <v>1+0.0100301567912492i</v>
      </c>
      <c r="U341" s="160">
        <f t="shared" si="220"/>
        <v>1.0000503007575454</v>
      </c>
      <c r="V341" s="160">
        <f t="shared" si="221"/>
        <v>1.0029820453435213E-2</v>
      </c>
      <c r="W341" s="98" t="str">
        <f t="shared" si="212"/>
        <v>1-0.0796721674198519i</v>
      </c>
      <c r="X341" s="160">
        <f t="shared" si="222"/>
        <v>1.0031688064634869</v>
      </c>
      <c r="Y341" s="160">
        <f t="shared" si="223"/>
        <v>-7.9504229440344035E-2</v>
      </c>
      <c r="Z341" s="98" t="str">
        <f t="shared" si="213"/>
        <v>0.99417440928544+0.153680019575072i</v>
      </c>
      <c r="AA341" s="160">
        <f t="shared" si="224"/>
        <v>1.0059822585387121</v>
      </c>
      <c r="AB341" s="160">
        <f t="shared" si="225"/>
        <v>0.15336665771681737</v>
      </c>
      <c r="AC341" s="171" t="str">
        <f t="shared" si="226"/>
        <v>-0.0870596805130447-0.390883260452259i</v>
      </c>
      <c r="AD341" s="190">
        <f t="shared" si="227"/>
        <v>-7.9487927754560559</v>
      </c>
      <c r="AE341" s="169">
        <f t="shared" si="228"/>
        <v>-102.55628501801664</v>
      </c>
      <c r="AF341" s="98" t="str">
        <f t="shared" si="214"/>
        <v>-0.0000366300366300366</v>
      </c>
      <c r="AG341" s="98" t="str">
        <f t="shared" si="215"/>
        <v>0.00736256189995947i</v>
      </c>
      <c r="AH341" s="98">
        <f t="shared" si="229"/>
        <v>7.3625618999594699E-3</v>
      </c>
      <c r="AI341" s="98">
        <f t="shared" si="230"/>
        <v>1.5707963267948966</v>
      </c>
      <c r="AJ341" s="98" t="str">
        <f t="shared" si="216"/>
        <v>1+1.0515736383055i</v>
      </c>
      <c r="AK341" s="98">
        <f t="shared" si="231"/>
        <v>1.4511399370078224</v>
      </c>
      <c r="AL341" s="98">
        <f t="shared" si="232"/>
        <v>0.81053144523936094</v>
      </c>
      <c r="AM341" s="98" t="str">
        <f t="shared" si="217"/>
        <v>1+72.558581043079i</v>
      </c>
      <c r="AN341" s="98">
        <f t="shared" si="233"/>
        <v>72.565471699597339</v>
      </c>
      <c r="AO341" s="98">
        <f t="shared" si="234"/>
        <v>1.5570152318695103</v>
      </c>
      <c r="AP341" s="168" t="str">
        <f t="shared" si="235"/>
        <v>-0.168942302093581+0.182630446646968i</v>
      </c>
      <c r="AQ341" s="98">
        <f t="shared" si="236"/>
        <v>-12.083417560356564</v>
      </c>
      <c r="AR341" s="169">
        <f t="shared" si="237"/>
        <v>132.77037044885182</v>
      </c>
      <c r="AS341" s="168" t="str">
        <f t="shared" si="238"/>
        <v>0.0860952472886246+0.0501369695336098i</v>
      </c>
      <c r="AT341" s="190">
        <f t="shared" si="239"/>
        <v>-20.032210335812621</v>
      </c>
      <c r="AU341" s="169">
        <f t="shared" si="240"/>
        <v>30.214085430835226</v>
      </c>
      <c r="AV341" s="225"/>
      <c r="AX341">
        <f t="shared" si="241"/>
        <v>0</v>
      </c>
      <c r="AY341">
        <f t="shared" si="242"/>
        <v>0</v>
      </c>
    </row>
    <row r="342" spans="14:51" x14ac:dyDescent="0.3">
      <c r="N342" s="170">
        <v>24</v>
      </c>
      <c r="O342" s="199">
        <f t="shared" si="208"/>
        <v>17378.008287493791</v>
      </c>
      <c r="P342" s="189" t="str">
        <f t="shared" si="209"/>
        <v>108.75</v>
      </c>
      <c r="Q342" s="160" t="str">
        <f t="shared" si="210"/>
        <v>1+277.122307210986i</v>
      </c>
      <c r="R342" s="160">
        <f t="shared" si="218"/>
        <v>277.1241114626082</v>
      </c>
      <c r="S342" s="160">
        <f t="shared" si="219"/>
        <v>1.5671878274660698</v>
      </c>
      <c r="T342" s="160" t="str">
        <f t="shared" si="211"/>
        <v>1+0.0102637891559625i</v>
      </c>
      <c r="U342" s="160">
        <f t="shared" si="220"/>
        <v>1.0000526712967863</v>
      </c>
      <c r="V342" s="160">
        <f t="shared" si="221"/>
        <v>1.0263428764526884E-2</v>
      </c>
      <c r="W342" s="98" t="str">
        <f t="shared" si="212"/>
        <v>1-0.081527970600553i</v>
      </c>
      <c r="X342" s="160">
        <f t="shared" si="222"/>
        <v>1.0033179007623878</v>
      </c>
      <c r="Y342" s="160">
        <f t="shared" si="223"/>
        <v>-8.1348053937308332E-2</v>
      </c>
      <c r="Z342" s="98" t="str">
        <f t="shared" si="213"/>
        <v>0.993899857653525+0.15725968708474i</v>
      </c>
      <c r="AA342" s="160">
        <f t="shared" si="224"/>
        <v>1.0062641483356582</v>
      </c>
      <c r="AB342" s="160">
        <f t="shared" si="225"/>
        <v>0.15692397458787932</v>
      </c>
      <c r="AC342" s="171" t="str">
        <f t="shared" si="226"/>
        <v>-0.087071585157462-0.381484440994328i</v>
      </c>
      <c r="AD342" s="190">
        <f t="shared" si="227"/>
        <v>-8.1499122536104078</v>
      </c>
      <c r="AE342" s="169">
        <f t="shared" si="228"/>
        <v>-102.85717867705586</v>
      </c>
      <c r="AF342" s="98" t="str">
        <f t="shared" si="214"/>
        <v>-0.0000366300366300366</v>
      </c>
      <c r="AG342" s="98" t="str">
        <f t="shared" si="215"/>
        <v>0.0075340579974618i</v>
      </c>
      <c r="AH342" s="98">
        <f t="shared" si="229"/>
        <v>7.5340579974618E-3</v>
      </c>
      <c r="AI342" s="98">
        <f t="shared" si="230"/>
        <v>1.5707963267948966</v>
      </c>
      <c r="AJ342" s="98" t="str">
        <f t="shared" si="216"/>
        <v>1+1.07606793494519i</v>
      </c>
      <c r="AK342" s="98">
        <f t="shared" si="231"/>
        <v>1.4689867938879524</v>
      </c>
      <c r="AL342" s="98">
        <f t="shared" si="232"/>
        <v>0.82202216794035354</v>
      </c>
      <c r="AM342" s="98" t="str">
        <f t="shared" si="217"/>
        <v>1+74.2486875112176i</v>
      </c>
      <c r="AN342" s="98">
        <f t="shared" si="233"/>
        <v>74.255421331633684</v>
      </c>
      <c r="AO342" s="98">
        <f t="shared" si="234"/>
        <v>1.557328889517585</v>
      </c>
      <c r="AP342" s="168" t="str">
        <f t="shared" si="235"/>
        <v>-0.164862246642602+0.182264903848174i</v>
      </c>
      <c r="AQ342" s="98">
        <f t="shared" si="236"/>
        <v>-12.189626620091067</v>
      </c>
      <c r="AR342" s="169">
        <f t="shared" si="237"/>
        <v>132.12997179397644</v>
      </c>
      <c r="AS342" s="168" t="str">
        <f t="shared" si="238"/>
        <v>0.0838860421051974+0.0470222879048891i</v>
      </c>
      <c r="AT342" s="190">
        <f t="shared" si="239"/>
        <v>-20.339538873701478</v>
      </c>
      <c r="AU342" s="169">
        <f t="shared" si="240"/>
        <v>29.272793116920553</v>
      </c>
      <c r="AV342" s="225"/>
      <c r="AX342">
        <f t="shared" si="241"/>
        <v>0</v>
      </c>
      <c r="AY342">
        <f t="shared" si="242"/>
        <v>0</v>
      </c>
    </row>
    <row r="343" spans="14:51" x14ac:dyDescent="0.3">
      <c r="N343" s="170">
        <v>25</v>
      </c>
      <c r="O343" s="199">
        <f t="shared" si="208"/>
        <v>17782.794100389234</v>
      </c>
      <c r="P343" s="189" t="str">
        <f t="shared" si="209"/>
        <v>108.75</v>
      </c>
      <c r="Q343" s="160" t="str">
        <f t="shared" si="210"/>
        <v>1+283.577314973675i</v>
      </c>
      <c r="R343" s="160">
        <f t="shared" si="218"/>
        <v>283.5790781557746</v>
      </c>
      <c r="S343" s="160">
        <f t="shared" si="219"/>
        <v>1.567269966250096</v>
      </c>
      <c r="T343" s="160" t="str">
        <f t="shared" si="211"/>
        <v>1+0.0105028635175435i</v>
      </c>
      <c r="U343" s="160">
        <f t="shared" si="220"/>
        <v>1.000055153550077</v>
      </c>
      <c r="V343" s="160">
        <f t="shared" si="221"/>
        <v>1.0502477352313029E-2</v>
      </c>
      <c r="W343" s="98" t="str">
        <f t="shared" si="212"/>
        <v>1-0.0834270009904168i</v>
      </c>
      <c r="X343" s="160">
        <f t="shared" si="222"/>
        <v>1.003473997916366</v>
      </c>
      <c r="Y343" s="160">
        <f t="shared" si="223"/>
        <v>-8.3234252840334061E-2</v>
      </c>
      <c r="Z343" s="98" t="str">
        <f t="shared" si="213"/>
        <v>0.993612366801831+0.160922735762078i</v>
      </c>
      <c r="AA343" s="160">
        <f t="shared" si="224"/>
        <v>1.0065593188415116</v>
      </c>
      <c r="AB343" s="160">
        <f t="shared" si="225"/>
        <v>0.16056308150995882</v>
      </c>
      <c r="AC343" s="171" t="str">
        <f t="shared" si="226"/>
        <v>-0.08707794885548-0.372288388301388i</v>
      </c>
      <c r="AD343" s="190">
        <f t="shared" si="227"/>
        <v>-8.351084379804945</v>
      </c>
      <c r="AE343" s="169">
        <f t="shared" si="228"/>
        <v>-103.1647651118338</v>
      </c>
      <c r="AF343" s="98" t="str">
        <f t="shared" si="214"/>
        <v>-0.0000366300366300366</v>
      </c>
      <c r="AG343" s="98" t="str">
        <f t="shared" si="215"/>
        <v>0.00770954875223942i</v>
      </c>
      <c r="AH343" s="98">
        <f t="shared" si="229"/>
        <v>7.7095487522394202E-3</v>
      </c>
      <c r="AI343" s="98">
        <f t="shared" si="230"/>
        <v>1.5707963267948966</v>
      </c>
      <c r="AJ343" s="98" t="str">
        <f t="shared" si="216"/>
        <v>1+1.10113277704742i</v>
      </c>
      <c r="AK343" s="98">
        <f t="shared" si="231"/>
        <v>1.4874452570391163</v>
      </c>
      <c r="AL343" s="98">
        <f t="shared" si="232"/>
        <v>0.83349354659275821</v>
      </c>
      <c r="AM343" s="98" t="str">
        <f t="shared" si="217"/>
        <v>1+75.9781616162721i</v>
      </c>
      <c r="AN343" s="98">
        <f t="shared" si="233"/>
        <v>75.984742169651156</v>
      </c>
      <c r="AO343" s="98">
        <f t="shared" si="234"/>
        <v>1.5576354100066412</v>
      </c>
      <c r="AP343" s="168" t="str">
        <f t="shared" si="235"/>
        <v>-0.160795916159304+0.181808909291567i</v>
      </c>
      <c r="AQ343" s="98">
        <f t="shared" si="236"/>
        <v>-12.29812406351761</v>
      </c>
      <c r="AR343" s="169">
        <f t="shared" si="237"/>
        <v>131.4902725423544</v>
      </c>
      <c r="AS343" s="168" t="str">
        <f t="shared" si="238"/>
        <v>0.0816871243824807+0.0440309055676307i</v>
      </c>
      <c r="AT343" s="190">
        <f t="shared" si="239"/>
        <v>-20.64920844332255</v>
      </c>
      <c r="AU343" s="169">
        <f t="shared" si="240"/>
        <v>28.325507430520574</v>
      </c>
      <c r="AV343" s="225"/>
      <c r="AX343">
        <f t="shared" si="241"/>
        <v>0</v>
      </c>
      <c r="AY343">
        <f t="shared" si="242"/>
        <v>0</v>
      </c>
    </row>
    <row r="344" spans="14:51" x14ac:dyDescent="0.3">
      <c r="N344" s="170">
        <v>26</v>
      </c>
      <c r="O344" s="199">
        <f t="shared" si="208"/>
        <v>18197.008586099837</v>
      </c>
      <c r="P344" s="189" t="str">
        <f t="shared" si="209"/>
        <v>108.75</v>
      </c>
      <c r="Q344" s="160" t="str">
        <f t="shared" si="210"/>
        <v>1+290.182679182354i</v>
      </c>
      <c r="R344" s="160">
        <f t="shared" si="218"/>
        <v>290.18440222977006</v>
      </c>
      <c r="S344" s="160">
        <f t="shared" si="219"/>
        <v>1.5673502353731095</v>
      </c>
      <c r="T344" s="160" t="str">
        <f t="shared" si="211"/>
        <v>1+0.0107475066363835i</v>
      </c>
      <c r="U344" s="160">
        <f t="shared" si="220"/>
        <v>1.0000577527817576</v>
      </c>
      <c r="V344" s="160">
        <f t="shared" si="221"/>
        <v>1.0747092854174611E-2</v>
      </c>
      <c r="W344" s="98" t="str">
        <f t="shared" si="212"/>
        <v>1-0.0853702654804932i</v>
      </c>
      <c r="X344" s="160">
        <f t="shared" si="222"/>
        <v>1.0036374256813114</v>
      </c>
      <c r="Y344" s="160">
        <f t="shared" si="223"/>
        <v>-8.5163772522223263E-2</v>
      </c>
      <c r="Z344" s="98" t="str">
        <f t="shared" si="213"/>
        <v>0.99331132692372+0.164671107803982i</v>
      </c>
      <c r="AA344" s="160">
        <f t="shared" si="224"/>
        <v>1.0068683955415187</v>
      </c>
      <c r="AB344" s="160">
        <f t="shared" si="225"/>
        <v>0.16428580778012336</v>
      </c>
      <c r="AC344" s="171" t="str">
        <f t="shared" si="226"/>
        <v>-0.0870787923495729-0.363290264450954i</v>
      </c>
      <c r="AD344" s="190">
        <f t="shared" si="227"/>
        <v>-8.5523115900429527</v>
      </c>
      <c r="AE344" s="169">
        <f t="shared" si="228"/>
        <v>-103.47919859577011</v>
      </c>
      <c r="AF344" s="98" t="str">
        <f t="shared" si="214"/>
        <v>-0.0000366300366300366</v>
      </c>
      <c r="AG344" s="98" t="str">
        <f t="shared" si="215"/>
        <v>0.00788912721181343i</v>
      </c>
      <c r="AH344" s="98">
        <f t="shared" si="229"/>
        <v>7.8891272118134306E-3</v>
      </c>
      <c r="AI344" s="98">
        <f t="shared" si="230"/>
        <v>1.5707963267948966</v>
      </c>
      <c r="AJ344" s="98" t="str">
        <f t="shared" si="216"/>
        <v>1+1.12678145432328i</v>
      </c>
      <c r="AK344" s="98">
        <f t="shared" si="231"/>
        <v>1.5065312628043555</v>
      </c>
      <c r="AL344" s="98">
        <f t="shared" si="232"/>
        <v>0.84493958810091319</v>
      </c>
      <c r="AM344" s="98" t="str">
        <f t="shared" si="217"/>
        <v>1+77.7479203483059i</v>
      </c>
      <c r="AN344" s="98">
        <f t="shared" si="233"/>
        <v>77.754351122535383</v>
      </c>
      <c r="AO344" s="98">
        <f t="shared" si="234"/>
        <v>1.5579349556273745</v>
      </c>
      <c r="AP344" s="168" t="str">
        <f t="shared" si="235"/>
        <v>-0.156747527883137+0.181263311241679i</v>
      </c>
      <c r="AQ344" s="98">
        <f t="shared" si="236"/>
        <v>-12.408901061400822</v>
      </c>
      <c r="AR344" s="169">
        <f t="shared" si="237"/>
        <v>130.8516253716451</v>
      </c>
      <c r="AS344" s="168" t="str">
        <f t="shared" si="238"/>
        <v>0.0795005817080897+0.041160660616488i</v>
      </c>
      <c r="AT344" s="190">
        <f t="shared" si="239"/>
        <v>-20.961212651443777</v>
      </c>
      <c r="AU344" s="169">
        <f t="shared" si="240"/>
        <v>27.37242677587502</v>
      </c>
      <c r="AV344" s="225"/>
      <c r="AX344">
        <f t="shared" si="241"/>
        <v>0</v>
      </c>
      <c r="AY344">
        <f t="shared" si="242"/>
        <v>0</v>
      </c>
    </row>
    <row r="345" spans="14:51" x14ac:dyDescent="0.3">
      <c r="N345" s="170">
        <v>27</v>
      </c>
      <c r="O345" s="199">
        <f t="shared" si="208"/>
        <v>18620.871366628675</v>
      </c>
      <c r="P345" s="189" t="str">
        <f t="shared" si="209"/>
        <v>108.75</v>
      </c>
      <c r="Q345" s="160" t="str">
        <f t="shared" si="210"/>
        <v>1+296.941902088557i</v>
      </c>
      <c r="R345" s="160">
        <f t="shared" si="218"/>
        <v>296.94358591485047</v>
      </c>
      <c r="S345" s="160">
        <f t="shared" si="219"/>
        <v>1.5674286773907222</v>
      </c>
      <c r="T345" s="160" t="str">
        <f t="shared" si="211"/>
        <v>1+0.0109978482255021i</v>
      </c>
      <c r="U345" s="160">
        <f t="shared" si="220"/>
        <v>1.0000604745042128</v>
      </c>
      <c r="V345" s="160">
        <f t="shared" si="221"/>
        <v>1.0997404851325148E-2</v>
      </c>
      <c r="W345" s="98" t="str">
        <f t="shared" si="212"/>
        <v>1-0.0873587944153362i</v>
      </c>
      <c r="X345" s="160">
        <f t="shared" si="222"/>
        <v>1.0038085270417365</v>
      </c>
      <c r="Y345" s="160">
        <f t="shared" si="223"/>
        <v>-8.7137578538377697E-2</v>
      </c>
      <c r="Z345" s="98" t="str">
        <f t="shared" si="213"/>
        <v>0.992996099473248+0.168506790646923i</v>
      </c>
      <c r="AA345" s="160">
        <f t="shared" si="224"/>
        <v>1.007192033359682</v>
      </c>
      <c r="AB345" s="160">
        <f t="shared" si="225"/>
        <v>0.16809401996885015</v>
      </c>
      <c r="AC345" s="171" t="str">
        <f t="shared" si="226"/>
        <v>-0.0870741253605892-0.354485338892327i</v>
      </c>
      <c r="AD345" s="190">
        <f t="shared" si="227"/>
        <v>-8.7535964323727349</v>
      </c>
      <c r="AE345" s="169">
        <f t="shared" si="228"/>
        <v>-103.80063641152509</v>
      </c>
      <c r="AF345" s="98" t="str">
        <f t="shared" si="214"/>
        <v>-0.0000366300366300366</v>
      </c>
      <c r="AG345" s="98" t="str">
        <f t="shared" si="215"/>
        <v>0.00807288859106008i</v>
      </c>
      <c r="AH345" s="98">
        <f t="shared" si="229"/>
        <v>8.0728885910600796E-3</v>
      </c>
      <c r="AI345" s="98">
        <f t="shared" si="230"/>
        <v>1.5707963267948966</v>
      </c>
      <c r="AJ345" s="98" t="str">
        <f t="shared" si="216"/>
        <v>1+1.15302756604093i</v>
      </c>
      <c r="AK345" s="98">
        <f t="shared" si="231"/>
        <v>1.5262609763897756</v>
      </c>
      <c r="AL345" s="98">
        <f t="shared" si="232"/>
        <v>0.85635436573723567</v>
      </c>
      <c r="AM345" s="98" t="str">
        <f t="shared" si="217"/>
        <v>1+79.5589020568236i</v>
      </c>
      <c r="AN345" s="98">
        <f t="shared" si="233"/>
        <v>79.565186460456758</v>
      </c>
      <c r="AO345" s="98">
        <f t="shared" si="234"/>
        <v>1.5582276849876946</v>
      </c>
      <c r="AP345" s="168" t="str">
        <f t="shared" si="235"/>
        <v>-0.152721224088706+0.18062919515958i</v>
      </c>
      <c r="AQ345" s="98">
        <f t="shared" si="236"/>
        <v>-12.521946430566564</v>
      </c>
      <c r="AR345" s="169">
        <f t="shared" si="237"/>
        <v>130.21437894588954</v>
      </c>
      <c r="AS345" s="168" t="str">
        <f t="shared" si="238"/>
        <v>0.0773284684715146+0.0384093056940284i</v>
      </c>
      <c r="AT345" s="190">
        <f t="shared" si="239"/>
        <v>-21.275542862939297</v>
      </c>
      <c r="AU345" s="169">
        <f t="shared" si="240"/>
        <v>26.413742534364463</v>
      </c>
      <c r="AV345" s="225"/>
      <c r="AX345">
        <f t="shared" si="241"/>
        <v>0</v>
      </c>
      <c r="AY345">
        <f t="shared" si="242"/>
        <v>0</v>
      </c>
    </row>
    <row r="346" spans="14:51" x14ac:dyDescent="0.3">
      <c r="N346" s="170">
        <v>28</v>
      </c>
      <c r="O346" s="199">
        <f t="shared" si="208"/>
        <v>19054.607179632505</v>
      </c>
      <c r="P346" s="189" t="str">
        <f t="shared" si="209"/>
        <v>108.75</v>
      </c>
      <c r="Q346" s="160" t="str">
        <f t="shared" si="210"/>
        <v>1+303.85856752174i</v>
      </c>
      <c r="R346" s="160">
        <f t="shared" si="218"/>
        <v>303.86021301967759</v>
      </c>
      <c r="S346" s="160">
        <f t="shared" si="219"/>
        <v>1.5675053338900662</v>
      </c>
      <c r="T346" s="160" t="str">
        <f t="shared" si="211"/>
        <v>1+0.0112540210193238i</v>
      </c>
      <c r="U346" s="160">
        <f t="shared" si="220"/>
        <v>1.0000633244895563</v>
      </c>
      <c r="V346" s="160">
        <f t="shared" si="221"/>
        <v>1.1253545936958462E-2</v>
      </c>
      <c r="W346" s="98" t="str">
        <f t="shared" si="212"/>
        <v>1-0.0893936421393093i</v>
      </c>
      <c r="X346" s="160">
        <f t="shared" si="222"/>
        <v>1.0039876609077081</v>
      </c>
      <c r="Y346" s="160">
        <f t="shared" si="223"/>
        <v>-8.9156655874563825E-2</v>
      </c>
      <c r="Z346" s="98" t="str">
        <f t="shared" si="213"/>
        <v>0.992666015810729+0.172431818020718i</v>
      </c>
      <c r="AA346" s="160">
        <f t="shared" si="224"/>
        <v>1.0075309180424572</v>
      </c>
      <c r="AB346" s="160">
        <f t="shared" si="225"/>
        <v>0.1719896224171186</v>
      </c>
      <c r="AC346" s="171" t="str">
        <f t="shared" si="226"/>
        <v>-0.0870639466725923-0.345868986115091i</v>
      </c>
      <c r="AD346" s="190">
        <f t="shared" si="227"/>
        <v>-8.9549415718360894</v>
      </c>
      <c r="AE346" s="169">
        <f t="shared" si="228"/>
        <v>-104.12923889106364</v>
      </c>
      <c r="AF346" s="98" t="str">
        <f t="shared" si="214"/>
        <v>-0.0000366300366300366</v>
      </c>
      <c r="AG346" s="98" t="str">
        <f t="shared" si="215"/>
        <v>0.00826093032269505i</v>
      </c>
      <c r="AH346" s="98">
        <f t="shared" si="229"/>
        <v>8.2609303226950492E-3</v>
      </c>
      <c r="AI346" s="98">
        <f t="shared" si="230"/>
        <v>1.5707963267948966</v>
      </c>
      <c r="AJ346" s="98" t="str">
        <f t="shared" si="216"/>
        <v>1+1.17988502823622i</v>
      </c>
      <c r="AK346" s="98">
        <f t="shared" si="231"/>
        <v>1.5466507944122312</v>
      </c>
      <c r="AL346" s="98">
        <f t="shared" si="232"/>
        <v>0.86773203418149558</v>
      </c>
      <c r="AM346" s="98" t="str">
        <f t="shared" si="217"/>
        <v>1+81.4120669482991i</v>
      </c>
      <c r="AN346" s="98">
        <f t="shared" si="233"/>
        <v>81.418208312356853</v>
      </c>
      <c r="AO346" s="98">
        <f t="shared" si="234"/>
        <v>1.5585137530957951</v>
      </c>
      <c r="AP346" s="168" t="str">
        <f t="shared" si="235"/>
        <v>-0.148721055463922+0.1799078764419i</v>
      </c>
      <c r="AQ346" s="98">
        <f t="shared" si="236"/>
        <v>-12.637246680904255</v>
      </c>
      <c r="AR346" s="169">
        <f t="shared" si="237"/>
        <v>129.57887705858153</v>
      </c>
      <c r="AS346" s="168" t="str">
        <f t="shared" si="238"/>
        <v>0.0751727968610816+0.035774510906756i</v>
      </c>
      <c r="AT346" s="190">
        <f t="shared" si="239"/>
        <v>-21.592188252740343</v>
      </c>
      <c r="AU346" s="169">
        <f t="shared" si="240"/>
        <v>25.44963816751789</v>
      </c>
      <c r="AV346" s="225"/>
      <c r="AX346">
        <f t="shared" si="241"/>
        <v>0</v>
      </c>
      <c r="AY346">
        <f t="shared" si="242"/>
        <v>0</v>
      </c>
    </row>
    <row r="347" spans="14:51" x14ac:dyDescent="0.3">
      <c r="N347" s="170">
        <v>29</v>
      </c>
      <c r="O347" s="199">
        <f t="shared" si="208"/>
        <v>19498.445997580486</v>
      </c>
      <c r="P347" s="189" t="str">
        <f t="shared" si="209"/>
        <v>108.75</v>
      </c>
      <c r="Q347" s="160" t="str">
        <f t="shared" si="210"/>
        <v>1+310.936342789463i</v>
      </c>
      <c r="R347" s="160">
        <f t="shared" si="218"/>
        <v>310.93795083149058</v>
      </c>
      <c r="S347" s="160">
        <f t="shared" si="219"/>
        <v>1.5675802455118268</v>
      </c>
      <c r="T347" s="160" t="str">
        <f t="shared" si="211"/>
        <v>1+0.0115161608440542i</v>
      </c>
      <c r="U347" s="160">
        <f t="shared" si="220"/>
        <v>1.0000663087818658</v>
      </c>
      <c r="V347" s="160">
        <f t="shared" si="221"/>
        <v>1.1515651785951103E-2</v>
      </c>
      <c r="W347" s="98" t="str">
        <f t="shared" si="212"/>
        <v>1-0.0914758875556082i</v>
      </c>
      <c r="X347" s="160">
        <f t="shared" si="222"/>
        <v>1.0041752028426545</v>
      </c>
      <c r="Y347" s="160">
        <f t="shared" si="223"/>
        <v>-9.1222009186872885E-2</v>
      </c>
      <c r="Z347" s="98" t="str">
        <f t="shared" si="213"/>
        <v>0.99232037578446+0.17644827102683i</v>
      </c>
      <c r="AA347" s="160">
        <f t="shared" si="224"/>
        <v>1.0078857676073065</v>
      </c>
      <c r="AB347" s="160">
        <f t="shared" si="225"/>
        <v>0.17597455771978515</v>
      </c>
      <c r="AC347" s="171" t="str">
        <f t="shared" si="226"/>
        <v>-0.0870482442004156-0.337436683383774i</v>
      </c>
      <c r="AD347" s="190">
        <f t="shared" si="227"/>
        <v>-9.1563497956233437</v>
      </c>
      <c r="AE347" s="169">
        <f t="shared" si="228"/>
        <v>-104.46516945436824</v>
      </c>
      <c r="AF347" s="98" t="str">
        <f t="shared" si="214"/>
        <v>-0.0000366300366300366</v>
      </c>
      <c r="AG347" s="98" t="str">
        <f t="shared" si="215"/>
        <v>0.00845335210893343i</v>
      </c>
      <c r="AH347" s="98">
        <f t="shared" si="229"/>
        <v>8.4533521089334308E-3</v>
      </c>
      <c r="AI347" s="98">
        <f t="shared" si="230"/>
        <v>1.5707963267948966</v>
      </c>
      <c r="AJ347" s="98" t="str">
        <f t="shared" si="216"/>
        <v>1+1.2073680810911i</v>
      </c>
      <c r="AK347" s="98">
        <f t="shared" si="231"/>
        <v>1.5677173480055659</v>
      </c>
      <c r="AL347" s="98">
        <f t="shared" si="232"/>
        <v>0.87906684404742597</v>
      </c>
      <c r="AM347" s="98" t="str">
        <f t="shared" si="217"/>
        <v>1+83.3083975952856i</v>
      </c>
      <c r="AN347" s="98">
        <f t="shared" si="233"/>
        <v>83.31439917501767</v>
      </c>
      <c r="AO347" s="98">
        <f t="shared" si="234"/>
        <v>1.5587933114413826</v>
      </c>
      <c r="AP347" s="168" t="str">
        <f t="shared" si="235"/>
        <v>-0.144750965288147+0.179100891797574i</v>
      </c>
      <c r="AQ347" s="98">
        <f t="shared" si="236"/>
        <v>-12.754786071488001</v>
      </c>
      <c r="AR347" s="169">
        <f t="shared" si="237"/>
        <v>128.94545780501028</v>
      </c>
      <c r="AS347" s="168" t="str">
        <f t="shared" si="238"/>
        <v>0.073035528293898+0.0332538674777247i</v>
      </c>
      <c r="AT347" s="190">
        <f t="shared" si="239"/>
        <v>-21.911135867111344</v>
      </c>
      <c r="AU347" s="169">
        <f t="shared" si="240"/>
        <v>24.480288350642049</v>
      </c>
      <c r="AV347" s="225"/>
      <c r="AX347">
        <f t="shared" si="241"/>
        <v>0</v>
      </c>
      <c r="AY347">
        <f t="shared" si="242"/>
        <v>0</v>
      </c>
    </row>
    <row r="348" spans="14:51" x14ac:dyDescent="0.3">
      <c r="N348" s="170">
        <v>30</v>
      </c>
      <c r="O348" s="199">
        <f t="shared" si="208"/>
        <v>19952.623149688792</v>
      </c>
      <c r="P348" s="189" t="str">
        <f t="shared" si="209"/>
        <v>108.75</v>
      </c>
      <c r="Q348" s="160" t="str">
        <f t="shared" si="210"/>
        <v>1+318.178980621865i</v>
      </c>
      <c r="R348" s="160">
        <f t="shared" si="218"/>
        <v>318.18055206057011</v>
      </c>
      <c r="S348" s="160">
        <f t="shared" si="219"/>
        <v>1.5676534519717724</v>
      </c>
      <c r="T348" s="160" t="str">
        <f t="shared" si="211"/>
        <v>1+0.0117844066896987i</v>
      </c>
      <c r="U348" s="160">
        <f t="shared" si="220"/>
        <v>1.000069433709994</v>
      </c>
      <c r="V348" s="160">
        <f t="shared" si="221"/>
        <v>1.1783861226159096E-2</v>
      </c>
      <c r="W348" s="98" t="str">
        <f t="shared" si="212"/>
        <v>1-0.0936066346983163i</v>
      </c>
      <c r="X348" s="160">
        <f t="shared" si="222"/>
        <v>1.0043715458233293</v>
      </c>
      <c r="Y348" s="160">
        <f t="shared" si="223"/>
        <v>-9.3334663032822479E-2</v>
      </c>
      <c r="Z348" s="98" t="str">
        <f t="shared" si="213"/>
        <v>0.991958446245605+0.180558279241811i</v>
      </c>
      <c r="AA348" s="160">
        <f t="shared" si="224"/>
        <v>1.0082573338591487</v>
      </c>
      <c r="AB348" s="160">
        <f t="shared" si="225"/>
        <v>0.18005080719330263</v>
      </c>
      <c r="AC348" s="171" t="str">
        <f t="shared" si="226"/>
        <v>-0.0870269950406273-0.329184008538196i</v>
      </c>
      <c r="AD348" s="190">
        <f t="shared" si="227"/>
        <v>-9.3578240184406241</v>
      </c>
      <c r="AE348" s="169">
        <f t="shared" si="228"/>
        <v>-104.80859464662672</v>
      </c>
      <c r="AF348" s="98" t="str">
        <f t="shared" si="214"/>
        <v>-0.0000366300366300366</v>
      </c>
      <c r="AG348" s="98" t="str">
        <f t="shared" si="215"/>
        <v>0.0086502559743533i</v>
      </c>
      <c r="AH348" s="98">
        <f t="shared" si="229"/>
        <v>8.6502559743533002E-3</v>
      </c>
      <c r="AI348" s="98">
        <f t="shared" si="230"/>
        <v>1.5707963267948966</v>
      </c>
      <c r="AJ348" s="98" t="str">
        <f t="shared" si="216"/>
        <v>1+1.23549129648399i</v>
      </c>
      <c r="AK348" s="98">
        <f t="shared" si="231"/>
        <v>1.5894775065057354</v>
      </c>
      <c r="AL348" s="98">
        <f t="shared" si="232"/>
        <v>0.89035315581170482</v>
      </c>
      <c r="AM348" s="98" t="str">
        <f t="shared" si="217"/>
        <v>1+85.2488994573947i</v>
      </c>
      <c r="AN348" s="98">
        <f t="shared" si="233"/>
        <v>85.254764434000933</v>
      </c>
      <c r="AO348" s="98">
        <f t="shared" si="234"/>
        <v>1.5590665080751058</v>
      </c>
      <c r="AP348" s="168" t="str">
        <f t="shared" si="235"/>
        <v>-0.140814774536912+0.178209989361453i</v>
      </c>
      <c r="AQ348" s="98">
        <f t="shared" si="236"/>
        <v>-12.87454667533018</v>
      </c>
      <c r="AR348" s="169">
        <f t="shared" si="237"/>
        <v>128.3144527887379</v>
      </c>
      <c r="AS348" s="168" t="str">
        <f t="shared" si="238"/>
        <v>0.0709185653448233+0.0308448920831136i</v>
      </c>
      <c r="AT348" s="190">
        <f t="shared" si="239"/>
        <v>-22.232370693770797</v>
      </c>
      <c r="AU348" s="169">
        <f t="shared" si="240"/>
        <v>23.505858142111205</v>
      </c>
      <c r="AV348" s="225"/>
      <c r="AX348">
        <f t="shared" si="241"/>
        <v>0</v>
      </c>
      <c r="AY348">
        <f t="shared" si="242"/>
        <v>0</v>
      </c>
    </row>
    <row r="349" spans="14:51" x14ac:dyDescent="0.3">
      <c r="N349" s="170">
        <v>31</v>
      </c>
      <c r="O349" s="199">
        <f t="shared" si="208"/>
        <v>20417.379446695286</v>
      </c>
      <c r="P349" s="189" t="str">
        <f t="shared" si="209"/>
        <v>108.75</v>
      </c>
      <c r="Q349" s="160" t="str">
        <f t="shared" si="210"/>
        <v>1+325.590321161387i</v>
      </c>
      <c r="R349" s="160">
        <f t="shared" si="218"/>
        <v>325.5918568299507</v>
      </c>
      <c r="S349" s="160">
        <f t="shared" si="219"/>
        <v>1.5677249920817966</v>
      </c>
      <c r="T349" s="160" t="str">
        <f t="shared" si="211"/>
        <v>1+0.0120589007837551i</v>
      </c>
      <c r="U349" s="160">
        <f t="shared" si="220"/>
        <v>1.0000727059009822</v>
      </c>
      <c r="V349" s="160">
        <f t="shared" si="221"/>
        <v>1.2058316311337015E-2</v>
      </c>
      <c r="W349" s="98" t="str">
        <f t="shared" si="212"/>
        <v>1-0.0957870133177712i</v>
      </c>
      <c r="X349" s="160">
        <f t="shared" si="222"/>
        <v>1.0045771010332352</v>
      </c>
      <c r="Y349" s="160">
        <f t="shared" si="223"/>
        <v>-9.5495662092422634E-2</v>
      </c>
      <c r="Z349" s="98" t="str">
        <f t="shared" si="213"/>
        <v>0.991579459493088+0.184764021846416i</v>
      </c>
      <c r="AA349" s="160">
        <f t="shared" si="224"/>
        <v>1.0086464039778595</v>
      </c>
      <c r="AB349" s="160">
        <f t="shared" si="225"/>
        <v>0.18422039132560364</v>
      </c>
      <c r="AC349" s="171" t="str">
        <f t="shared" si="226"/>
        <v>-0.0870001655065828-0.321106637859077i</v>
      </c>
      <c r="AD349" s="190">
        <f t="shared" si="227"/>
        <v>-9.5593672880954088</v>
      </c>
      <c r="AE349" s="169">
        <f t="shared" si="228"/>
        <v>-105.15968417370277</v>
      </c>
      <c r="AF349" s="98" t="str">
        <f t="shared" si="214"/>
        <v>-0.0000366300366300366</v>
      </c>
      <c r="AG349" s="98" t="str">
        <f t="shared" si="215"/>
        <v>0.00885174631999045i</v>
      </c>
      <c r="AH349" s="98">
        <f t="shared" si="229"/>
        <v>8.8517463199904497E-3</v>
      </c>
      <c r="AI349" s="98">
        <f t="shared" si="230"/>
        <v>1.5707963267948966</v>
      </c>
      <c r="AJ349" s="98" t="str">
        <f t="shared" si="216"/>
        <v>1+1.26426958571592i</v>
      </c>
      <c r="AK349" s="98">
        <f t="shared" si="231"/>
        <v>1.6119483817313456</v>
      </c>
      <c r="AL349" s="98">
        <f t="shared" si="232"/>
        <v>0.90158545306698445</v>
      </c>
      <c r="AM349" s="98" t="str">
        <f t="shared" si="217"/>
        <v>1+87.2346014143983i</v>
      </c>
      <c r="AN349" s="98">
        <f t="shared" si="233"/>
        <v>87.240332896710925</v>
      </c>
      <c r="AO349" s="98">
        <f t="shared" si="234"/>
        <v>1.5593334876862193</v>
      </c>
      <c r="AP349" s="168" t="str">
        <f t="shared" si="235"/>
        <v>-0.136916168026268+0.177237117656623i</v>
      </c>
      <c r="AQ349" s="98">
        <f t="shared" si="236"/>
        <v>-12.996508452216789</v>
      </c>
      <c r="AR349" s="169">
        <f t="shared" si="237"/>
        <v>127.68618636670699</v>
      </c>
      <c r="AS349" s="168" t="str">
        <f t="shared" si="238"/>
        <v>0.0688237442333643+0.0285450318134275i</v>
      </c>
      <c r="AT349" s="190">
        <f t="shared" si="239"/>
        <v>-22.555875740312192</v>
      </c>
      <c r="AU349" s="169">
        <f t="shared" si="240"/>
        <v>22.526502193004227</v>
      </c>
      <c r="AV349" s="225"/>
      <c r="AX349">
        <f t="shared" si="241"/>
        <v>0</v>
      </c>
      <c r="AY349">
        <f t="shared" si="242"/>
        <v>0</v>
      </c>
    </row>
    <row r="350" spans="14:51" x14ac:dyDescent="0.3">
      <c r="N350" s="170">
        <v>32</v>
      </c>
      <c r="O350" s="199">
        <f t="shared" si="208"/>
        <v>20892.961308540423</v>
      </c>
      <c r="P350" s="189" t="str">
        <f t="shared" si="209"/>
        <v>108.75</v>
      </c>
      <c r="Q350" s="160" t="str">
        <f t="shared" si="210"/>
        <v>1+333.174293998889i</v>
      </c>
      <c r="R350" s="160">
        <f t="shared" si="218"/>
        <v>333.17579471152789</v>
      </c>
      <c r="S350" s="160">
        <f t="shared" si="219"/>
        <v>1.5677949037704817</v>
      </c>
      <c r="T350" s="160" t="str">
        <f t="shared" si="211"/>
        <v>1+0.0123397886666256i</v>
      </c>
      <c r="U350" s="160">
        <f t="shared" si="220"/>
        <v>1.0000761322941054</v>
      </c>
      <c r="V350" s="160">
        <f t="shared" si="221"/>
        <v>1.2339162395721142E-2</v>
      </c>
      <c r="W350" s="98" t="str">
        <f t="shared" si="212"/>
        <v>1-0.0980181794795791i</v>
      </c>
      <c r="X350" s="160">
        <f t="shared" si="222"/>
        <v>1.0047922986908742</v>
      </c>
      <c r="Y350" s="160">
        <f t="shared" si="223"/>
        <v>-9.770607137799675E-2</v>
      </c>
      <c r="Z350" s="98" t="str">
        <f t="shared" si="213"/>
        <v>0.991182611645193+0.189067728781046i</v>
      </c>
      <c r="AA350" s="160">
        <f t="shared" si="224"/>
        <v>1.0090538021801456</v>
      </c>
      <c r="AB350" s="160">
        <f t="shared" si="225"/>
        <v>0.18848537020592648</v>
      </c>
      <c r="AC350" s="171" t="str">
        <f t="shared" si="226"/>
        <v>-0.0869677111482584-0.313200343998401i</v>
      </c>
      <c r="AD350" s="190">
        <f t="shared" si="227"/>
        <v>-9.7609827913098517</v>
      </c>
      <c r="AE350" s="169">
        <f t="shared" si="228"/>
        <v>-105.51861093568992</v>
      </c>
      <c r="AF350" s="98" t="str">
        <f t="shared" si="214"/>
        <v>-0.0000366300366300366</v>
      </c>
      <c r="AG350" s="98" t="str">
        <f t="shared" si="215"/>
        <v>0.0090579299786932i</v>
      </c>
      <c r="AH350" s="98">
        <f t="shared" si="229"/>
        <v>9.0579299786932004E-3</v>
      </c>
      <c r="AI350" s="98">
        <f t="shared" si="230"/>
        <v>1.5707963267948966</v>
      </c>
      <c r="AJ350" s="98" t="str">
        <f t="shared" si="216"/>
        <v>1+1.2937182074168i</v>
      </c>
      <c r="AK350" s="98">
        <f t="shared" si="231"/>
        <v>1.6351473328730162</v>
      </c>
      <c r="AL350" s="98">
        <f t="shared" si="232"/>
        <v>0.91275835502843827</v>
      </c>
      <c r="AM350" s="98" t="str">
        <f t="shared" si="217"/>
        <v>1+89.2665563117591i</v>
      </c>
      <c r="AN350" s="98">
        <f t="shared" si="233"/>
        <v>89.272157337887037</v>
      </c>
      <c r="AO350" s="98">
        <f t="shared" si="234"/>
        <v>1.5595943916785209</v>
      </c>
      <c r="AP350" s="168" t="str">
        <f t="shared" si="235"/>
        <v>-0.133058681694963+0.176184413528235i</v>
      </c>
      <c r="AQ350" s="98">
        <f t="shared" si="236"/>
        <v>-13.120649329009293</v>
      </c>
      <c r="AR350" s="169">
        <f t="shared" si="237"/>
        <v>127.06097493701911</v>
      </c>
      <c r="AS350" s="168" t="str">
        <f t="shared" si="238"/>
        <v>0.0667528279196153+0.0263516696942873i</v>
      </c>
      <c r="AT350" s="190">
        <f t="shared" si="239"/>
        <v>-22.88163212031915</v>
      </c>
      <c r="AU350" s="169">
        <f t="shared" si="240"/>
        <v>21.542364001329187</v>
      </c>
      <c r="AV350" s="225"/>
      <c r="AX350">
        <f t="shared" si="241"/>
        <v>0</v>
      </c>
      <c r="AY350">
        <f t="shared" si="242"/>
        <v>0</v>
      </c>
    </row>
    <row r="351" spans="14:51" x14ac:dyDescent="0.3">
      <c r="N351" s="170">
        <v>33</v>
      </c>
      <c r="O351" s="199">
        <f t="shared" si="208"/>
        <v>21379.620895022348</v>
      </c>
      <c r="P351" s="189" t="str">
        <f t="shared" si="209"/>
        <v>108.75</v>
      </c>
      <c r="Q351" s="160" t="str">
        <f t="shared" si="210"/>
        <v>1+340.93492025715i</v>
      </c>
      <c r="R351" s="160">
        <f t="shared" si="218"/>
        <v>340.93638680954729</v>
      </c>
      <c r="S351" s="160">
        <f t="shared" si="219"/>
        <v>1.5678632241031953</v>
      </c>
      <c r="T351" s="160" t="str">
        <f t="shared" si="211"/>
        <v>1+0.0126272192687834i</v>
      </c>
      <c r="U351" s="160">
        <f t="shared" si="220"/>
        <v>1.0000797201555793</v>
      </c>
      <c r="V351" s="160">
        <f t="shared" si="221"/>
        <v>1.2626548210308022E-2</v>
      </c>
      <c r="W351" s="98" t="str">
        <f t="shared" si="212"/>
        <v>1-0.10030131617757i</v>
      </c>
      <c r="X351" s="160">
        <f t="shared" si="222"/>
        <v>1.0050175889142203</v>
      </c>
      <c r="Y351" s="160">
        <f t="shared" si="223"/>
        <v>-9.9966976431407867E-2</v>
      </c>
      <c r="Z351" s="98" t="str">
        <f t="shared" si="213"/>
        <v>0.99076706093443+0.193471681928083i</v>
      </c>
      <c r="AA351" s="160">
        <f t="shared" si="224"/>
        <v>1.0094803914592545</v>
      </c>
      <c r="AB351" s="160">
        <f t="shared" si="225"/>
        <v>0.19284784393208665</v>
      </c>
      <c r="AC351" s="171" t="str">
        <f t="shared" si="226"/>
        <v>-0.0869295767575902-0.305460993974294i</v>
      </c>
      <c r="AD351" s="190">
        <f t="shared" si="227"/>
        <v>-9.9626738597666389</v>
      </c>
      <c r="AE351" s="169">
        <f t="shared" si="228"/>
        <v>-105.88555105832752</v>
      </c>
      <c r="AF351" s="98" t="str">
        <f t="shared" si="214"/>
        <v>-0.0000366300366300366</v>
      </c>
      <c r="AG351" s="98" t="str">
        <f t="shared" si="215"/>
        <v>0.00926891627176651i</v>
      </c>
      <c r="AH351" s="98">
        <f t="shared" si="229"/>
        <v>9.2689162717665106E-3</v>
      </c>
      <c r="AI351" s="98">
        <f t="shared" si="230"/>
        <v>1.5707963267948966</v>
      </c>
      <c r="AJ351" s="98" t="str">
        <f t="shared" si="216"/>
        <v>1+1.32385277563563i</v>
      </c>
      <c r="AK351" s="98">
        <f t="shared" si="231"/>
        <v>1.6590919720009984</v>
      </c>
      <c r="AL351" s="98">
        <f t="shared" si="232"/>
        <v>0.92386662823127641</v>
      </c>
      <c r="AM351" s="98" t="str">
        <f t="shared" si="217"/>
        <v>1+91.3458415188582i</v>
      </c>
      <c r="AN351" s="98">
        <f t="shared" si="233"/>
        <v>91.351315057794096</v>
      </c>
      <c r="AO351" s="98">
        <f t="shared" si="234"/>
        <v>1.5598493582445991</v>
      </c>
      <c r="AP351" s="168" t="str">
        <f t="shared" si="235"/>
        <v>-0.129245691106672+0.175054189180175i</v>
      </c>
      <c r="AQ351" s="98">
        <f t="shared" si="236"/>
        <v>-13.2469452867516</v>
      </c>
      <c r="AR351" s="169">
        <f t="shared" si="237"/>
        <v>126.43912627297166</v>
      </c>
      <c r="AS351" s="168" t="str">
        <f t="shared" si="238"/>
        <v>0.0647074998519856+0.0242621306972629i</v>
      </c>
      <c r="AT351" s="190">
        <f t="shared" si="239"/>
        <v>-23.209619146518236</v>
      </c>
      <c r="AU351" s="169">
        <f t="shared" si="240"/>
        <v>20.553575214644177</v>
      </c>
      <c r="AV351" s="225"/>
      <c r="AX351">
        <f t="shared" si="241"/>
        <v>0</v>
      </c>
      <c r="AY351">
        <f t="shared" si="242"/>
        <v>0</v>
      </c>
    </row>
    <row r="352" spans="14:51" x14ac:dyDescent="0.3">
      <c r="N352" s="170">
        <v>34</v>
      </c>
      <c r="O352" s="199">
        <f t="shared" si="208"/>
        <v>21877.61623949555</v>
      </c>
      <c r="P352" s="189" t="str">
        <f t="shared" si="209"/>
        <v>108.75</v>
      </c>
      <c r="Q352" s="160" t="str">
        <f t="shared" si="210"/>
        <v>1+348.87631472294i</v>
      </c>
      <c r="R352" s="160">
        <f t="shared" si="218"/>
        <v>348.8777478926678</v>
      </c>
      <c r="S352" s="160">
        <f t="shared" si="219"/>
        <v>1.5679299893017296</v>
      </c>
      <c r="T352" s="160" t="str">
        <f t="shared" si="211"/>
        <v>1+0.0129213449897386i</v>
      </c>
      <c r="U352" s="160">
        <f t="shared" si="220"/>
        <v>1.0000834770939593</v>
      </c>
      <c r="V352" s="160">
        <f t="shared" si="221"/>
        <v>1.2920625940868829E-2</v>
      </c>
      <c r="W352" s="98" t="str">
        <f t="shared" si="212"/>
        <v>1-0.102637633961044i</v>
      </c>
      <c r="X352" s="160">
        <f t="shared" si="222"/>
        <v>1.0052534426228648</v>
      </c>
      <c r="Y352" s="160">
        <f t="shared" si="223"/>
        <v>-0.10227948350729651</v>
      </c>
      <c r="Z352" s="98" t="str">
        <f t="shared" si="213"/>
        <v>0.990331925922027+0.197978216321778i</v>
      </c>
      <c r="AA352" s="160">
        <f t="shared" si="224"/>
        <v>1.0099270754061325</v>
      </c>
      <c r="AB352" s="160">
        <f t="shared" si="225"/>
        <v>0.19730995299261248</v>
      </c>
      <c r="AC352" s="171" t="str">
        <f t="shared" si="226"/>
        <v>-0.0868856963600669-0.297884547230066i</v>
      </c>
      <c r="AD352" s="190">
        <f t="shared" si="227"/>
        <v>-10.164443976396178</v>
      </c>
      <c r="AE352" s="169">
        <f t="shared" si="228"/>
        <v>-106.26068392204976</v>
      </c>
      <c r="AF352" s="98" t="str">
        <f t="shared" si="214"/>
        <v>-0.0000366300366300366</v>
      </c>
      <c r="AG352" s="98" t="str">
        <f t="shared" si="215"/>
        <v>0.00948481706693572i</v>
      </c>
      <c r="AH352" s="98">
        <f t="shared" si="229"/>
        <v>9.4848170669357204E-3</v>
      </c>
      <c r="AI352" s="98">
        <f t="shared" si="230"/>
        <v>1.5707963267948966</v>
      </c>
      <c r="AJ352" s="98" t="str">
        <f t="shared" si="216"/>
        <v>1+1.35468926811937i</v>
      </c>
      <c r="AK352" s="98">
        <f t="shared" si="231"/>
        <v>1.6838001701976975</v>
      </c>
      <c r="AL352" s="98">
        <f t="shared" si="232"/>
        <v>0.93490519736572264</v>
      </c>
      <c r="AM352" s="98" t="str">
        <f t="shared" si="217"/>
        <v>1+93.473559500236i</v>
      </c>
      <c r="AN352" s="98">
        <f t="shared" si="233"/>
        <v>93.478908453426854</v>
      </c>
      <c r="AO352" s="98">
        <f t="shared" si="234"/>
        <v>1.5600985224384278</v>
      </c>
      <c r="AP352" s="168" t="str">
        <f t="shared" si="235"/>
        <v>-0.125480401237823+0.173848918452431i</v>
      </c>
      <c r="AQ352" s="98">
        <f t="shared" si="236"/>
        <v>-13.375370453876689</v>
      </c>
      <c r="AR352" s="169">
        <f t="shared" si="237"/>
        <v>125.82093890641642</v>
      </c>
      <c r="AS352" s="168" t="str">
        <f t="shared" si="238"/>
        <v>0.0626893584007279+0.022273688167792i</v>
      </c>
      <c r="AT352" s="190">
        <f t="shared" si="239"/>
        <v>-23.53981443027287</v>
      </c>
      <c r="AU352" s="169">
        <f t="shared" si="240"/>
        <v>19.560254984366683</v>
      </c>
      <c r="AV352" s="225"/>
      <c r="AX352">
        <f t="shared" si="241"/>
        <v>0</v>
      </c>
      <c r="AY352">
        <f t="shared" si="242"/>
        <v>0</v>
      </c>
    </row>
    <row r="353" spans="14:51" x14ac:dyDescent="0.3">
      <c r="N353" s="170">
        <v>35</v>
      </c>
      <c r="O353" s="199">
        <f t="shared" si="208"/>
        <v>22387.211385683382</v>
      </c>
      <c r="P353" s="189" t="str">
        <f t="shared" si="209"/>
        <v>108.75</v>
      </c>
      <c r="Q353" s="160" t="str">
        <f t="shared" si="210"/>
        <v>1+357.002688028718i</v>
      </c>
      <c r="R353" s="160">
        <f t="shared" si="218"/>
        <v>357.00408857564946</v>
      </c>
      <c r="S353" s="160">
        <f t="shared" si="219"/>
        <v>1.5679952347634942</v>
      </c>
      <c r="T353" s="160" t="str">
        <f t="shared" si="211"/>
        <v>1+0.0132223217788414i</v>
      </c>
      <c r="U353" s="160">
        <f t="shared" si="220"/>
        <v>1.0000874110762634</v>
      </c>
      <c r="V353" s="160">
        <f t="shared" si="221"/>
        <v>1.3221551307733059E-2</v>
      </c>
      <c r="W353" s="98" t="str">
        <f t="shared" si="212"/>
        <v>1-0.105028371576613i</v>
      </c>
      <c r="X353" s="160">
        <f t="shared" si="222"/>
        <v>1.0055003524793191</v>
      </c>
      <c r="Y353" s="160">
        <f t="shared" si="223"/>
        <v>-0.1046447197407842</v>
      </c>
      <c r="Z353" s="98" t="str">
        <f t="shared" si="213"/>
        <v>0.989876283628284+0.202589721386318i</v>
      </c>
      <c r="AA353" s="160">
        <f t="shared" si="224"/>
        <v>1.0103948001158403</v>
      </c>
      <c r="AB353" s="160">
        <f t="shared" si="225"/>
        <v>0.20187387862092229</v>
      </c>
      <c r="AC353" s="171" t="str">
        <f t="shared" si="226"/>
        <v>-0.0868359931933465-0.290467053757233i</v>
      </c>
      <c r="AD353" s="190">
        <f t="shared" si="227"/>
        <v>-10.366296781911648</v>
      </c>
      <c r="AE353" s="169">
        <f t="shared" si="228"/>
        <v>-106.64419218841554</v>
      </c>
      <c r="AF353" s="98" t="str">
        <f t="shared" si="214"/>
        <v>-0.0000366300366300366</v>
      </c>
      <c r="AG353" s="98" t="str">
        <f t="shared" si="215"/>
        <v>0.00970574683766021i</v>
      </c>
      <c r="AH353" s="98">
        <f t="shared" si="229"/>
        <v>9.7057468376602098E-3</v>
      </c>
      <c r="AI353" s="98">
        <f t="shared" si="230"/>
        <v>1.5707963267948966</v>
      </c>
      <c r="AJ353" s="98" t="str">
        <f t="shared" si="216"/>
        <v>1+1.38624403478448i</v>
      </c>
      <c r="AK353" s="98">
        <f t="shared" si="231"/>
        <v>1.7092900643178015</v>
      </c>
      <c r="AL353" s="98">
        <f t="shared" si="232"/>
        <v>0.94586915520469861</v>
      </c>
      <c r="AM353" s="98" t="str">
        <f t="shared" si="217"/>
        <v>1+95.6508384001292i</v>
      </c>
      <c r="AN353" s="98">
        <f t="shared" si="233"/>
        <v>95.656065603011456</v>
      </c>
      <c r="AO353" s="98">
        <f t="shared" si="234"/>
        <v>1.5603420162463388</v>
      </c>
      <c r="AP353" s="168" t="str">
        <f t="shared" si="235"/>
        <v>-0.121765837599627+0.17257122248108i</v>
      </c>
      <c r="AQ353" s="98">
        <f t="shared" si="236"/>
        <v>-13.505897204775639</v>
      </c>
      <c r="AR353" s="169">
        <f t="shared" si="237"/>
        <v>125.20670156301468</v>
      </c>
      <c r="AS353" s="168" t="str">
        <f t="shared" si="238"/>
        <v>0.0606999120023466+0.0203835705951108i</v>
      </c>
      <c r="AT353" s="190">
        <f t="shared" si="239"/>
        <v>-23.872193986687293</v>
      </c>
      <c r="AU353" s="169">
        <f t="shared" si="240"/>
        <v>18.562509374599134</v>
      </c>
      <c r="AV353" s="225"/>
      <c r="AX353">
        <f t="shared" si="241"/>
        <v>0</v>
      </c>
      <c r="AY353">
        <f t="shared" si="242"/>
        <v>0</v>
      </c>
    </row>
    <row r="354" spans="14:51" x14ac:dyDescent="0.3">
      <c r="N354" s="170">
        <v>36</v>
      </c>
      <c r="O354" s="199">
        <f t="shared" si="208"/>
        <v>22908.676527677751</v>
      </c>
      <c r="P354" s="189" t="str">
        <f t="shared" si="209"/>
        <v>108.75</v>
      </c>
      <c r="Q354" s="160" t="str">
        <f t="shared" si="210"/>
        <v>1+365.318348885181i</v>
      </c>
      <c r="R354" s="160">
        <f t="shared" si="218"/>
        <v>365.31971755189301</v>
      </c>
      <c r="S354" s="160">
        <f t="shared" si="219"/>
        <v>1.5680589950802737</v>
      </c>
      <c r="T354" s="160" t="str">
        <f t="shared" si="211"/>
        <v>1+0.0135303092179697i</v>
      </c>
      <c r="U354" s="160">
        <f t="shared" si="220"/>
        <v>1.0000915304448559</v>
      </c>
      <c r="V354" s="160">
        <f t="shared" si="221"/>
        <v>1.3529483647383751E-2</v>
      </c>
      <c r="W354" s="98" t="str">
        <f t="shared" si="212"/>
        <v>1-0.107474796625008i</v>
      </c>
      <c r="X354" s="160">
        <f t="shared" si="222"/>
        <v>1.0057588338710164</v>
      </c>
      <c r="Y354" s="160">
        <f t="shared" si="223"/>
        <v>-0.10706383329804937</v>
      </c>
      <c r="Z354" s="98" t="str">
        <f t="shared" si="213"/>
        <v>0.989399167574806+0.207308642202731i</v>
      </c>
      <c r="AA354" s="160">
        <f t="shared" si="224"/>
        <v>1.0108845561831772</v>
      </c>
      <c r="AB354" s="160">
        <f t="shared" si="225"/>
        <v>0.20654184311855153</v>
      </c>
      <c r="AC354" s="171" t="str">
        <f t="shared" si="226"/>
        <v>-0.0867803796737215-0.283204652282355i</v>
      </c>
      <c r="AD354" s="190">
        <f t="shared" si="227"/>
        <v>-10.568236081599148</v>
      </c>
      <c r="AE354" s="169">
        <f t="shared" si="228"/>
        <v>-107.03626182365501</v>
      </c>
      <c r="AF354" s="98" t="str">
        <f t="shared" si="214"/>
        <v>-0.0000366300366300366</v>
      </c>
      <c r="AG354" s="98" t="str">
        <f t="shared" si="215"/>
        <v>0.00993182272382879i</v>
      </c>
      <c r="AH354" s="98">
        <f t="shared" si="229"/>
        <v>9.9318227238287902E-3</v>
      </c>
      <c r="AI354" s="98">
        <f t="shared" si="230"/>
        <v>1.5707963267948966</v>
      </c>
      <c r="AJ354" s="98" t="str">
        <f t="shared" si="216"/>
        <v>1+1.41853380638597i</v>
      </c>
      <c r="AK354" s="98">
        <f t="shared" si="231"/>
        <v>1.735580064376135</v>
      </c>
      <c r="AL354" s="98">
        <f t="shared" si="232"/>
        <v>0.95675377158900154</v>
      </c>
      <c r="AM354" s="98" t="str">
        <f t="shared" si="217"/>
        <v>1+97.8788326406316i</v>
      </c>
      <c r="AN354" s="98">
        <f t="shared" si="233"/>
        <v>97.88394086413139</v>
      </c>
      <c r="AO354" s="98">
        <f t="shared" si="234"/>
        <v>1.5605799686564132</v>
      </c>
      <c r="AP354" s="168" t="str">
        <f t="shared" si="235"/>
        <v>-0.118104838725718+0.171223854884772i</v>
      </c>
      <c r="AQ354" s="98">
        <f t="shared" si="236"/>
        <v>-13.638496262970429</v>
      </c>
      <c r="AR354" s="169">
        <f t="shared" si="237"/>
        <v>124.59669265139748</v>
      </c>
      <c r="AS354" s="168" t="str">
        <f t="shared" si="238"/>
        <v>0.0587405750310077+0.0185889686480819i</v>
      </c>
      <c r="AT354" s="190">
        <f t="shared" si="239"/>
        <v>-24.206732344569581</v>
      </c>
      <c r="AU354" s="169">
        <f t="shared" si="240"/>
        <v>17.560430827742497</v>
      </c>
      <c r="AV354" s="225"/>
      <c r="AX354">
        <f t="shared" si="241"/>
        <v>0</v>
      </c>
      <c r="AY354">
        <f t="shared" si="242"/>
        <v>0</v>
      </c>
    </row>
    <row r="355" spans="14:51" x14ac:dyDescent="0.3">
      <c r="N355" s="170">
        <v>37</v>
      </c>
      <c r="O355" s="199">
        <f t="shared" si="208"/>
        <v>23442.288153199243</v>
      </c>
      <c r="P355" s="189" t="str">
        <f t="shared" si="209"/>
        <v>108.75</v>
      </c>
      <c r="Q355" s="160" t="str">
        <f t="shared" si="210"/>
        <v>1+373.827706365782i</v>
      </c>
      <c r="R355" s="160">
        <f t="shared" si="218"/>
        <v>373.82904387794878</v>
      </c>
      <c r="S355" s="160">
        <f t="shared" si="219"/>
        <v>1.5681213040565565</v>
      </c>
      <c r="T355" s="160" t="str">
        <f t="shared" si="211"/>
        <v>1+0.0138454706061401i</v>
      </c>
      <c r="U355" s="160">
        <f t="shared" si="220"/>
        <v>1.0000958439351229</v>
      </c>
      <c r="V355" s="160">
        <f t="shared" si="221"/>
        <v>1.3844585995898058E-2</v>
      </c>
      <c r="W355" s="98" t="str">
        <f t="shared" si="212"/>
        <v>1-0.10997820623317i</v>
      </c>
      <c r="X355" s="160">
        <f t="shared" si="222"/>
        <v>1.0060294259345826</v>
      </c>
      <c r="Y355" s="160">
        <f t="shared" si="223"/>
        <v>-0.10953799350801348</v>
      </c>
      <c r="Z355" s="98" t="str">
        <f t="shared" si="213"/>
        <v>0.988899565734475+0.212137480805293i</v>
      </c>
      <c r="AA355" s="160">
        <f t="shared" si="224"/>
        <v>1.0113973807916694</v>
      </c>
      <c r="AB355" s="160">
        <f t="shared" si="225"/>
        <v>0.21131611014421919</v>
      </c>
      <c r="AC355" s="171" t="str">
        <f t="shared" si="226"/>
        <v>-0.0867187573512845-0.276093568517594i</v>
      </c>
      <c r="AD355" s="190">
        <f t="shared" si="227"/>
        <v>-10.770265852370235</v>
      </c>
      <c r="AE355" s="169">
        <f t="shared" si="228"/>
        <v>-107.43708211904666</v>
      </c>
      <c r="AF355" s="98" t="str">
        <f t="shared" si="214"/>
        <v>-0.0000366300366300366</v>
      </c>
      <c r="AG355" s="98" t="str">
        <f t="shared" si="215"/>
        <v>0.0101631645938688i</v>
      </c>
      <c r="AH355" s="98">
        <f t="shared" si="229"/>
        <v>1.01631645938688E-2</v>
      </c>
      <c r="AI355" s="98">
        <f t="shared" si="230"/>
        <v>1.5707963267948966</v>
      </c>
      <c r="AJ355" s="98" t="str">
        <f t="shared" si="216"/>
        <v>1+1.45157570338811i</v>
      </c>
      <c r="AK355" s="98">
        <f t="shared" si="231"/>
        <v>1.7626888615597154</v>
      </c>
      <c r="AL355" s="98">
        <f t="shared" si="232"/>
        <v>0.96755450144378208</v>
      </c>
      <c r="AM355" s="98" t="str">
        <f t="shared" si="217"/>
        <v>1+100.158723533779i</v>
      </c>
      <c r="AN355" s="98">
        <f t="shared" si="233"/>
        <v>100.16371548577845</v>
      </c>
      <c r="AO355" s="98">
        <f t="shared" si="234"/>
        <v>1.5608125057263211</v>
      </c>
      <c r="AP355" s="168" t="str">
        <f t="shared" si="235"/>
        <v>-0.114500050040155+0.169809686621236i</v>
      </c>
      <c r="AQ355" s="98">
        <f t="shared" si="236"/>
        <v>-13.773136808117135</v>
      </c>
      <c r="AR355" s="169">
        <f t="shared" si="237"/>
        <v>123.99117980774366</v>
      </c>
      <c r="AS355" s="168" t="str">
        <f t="shared" si="238"/>
        <v>0.0568126644042535+0.0168870424010249i</v>
      </c>
      <c r="AT355" s="190">
        <f t="shared" si="239"/>
        <v>-24.54340266048737</v>
      </c>
      <c r="AU355" s="169">
        <f t="shared" si="240"/>
        <v>16.55409768869708</v>
      </c>
      <c r="AV355" s="225"/>
      <c r="AX355">
        <f t="shared" si="241"/>
        <v>0</v>
      </c>
      <c r="AY355">
        <f t="shared" si="242"/>
        <v>0</v>
      </c>
    </row>
    <row r="356" spans="14:51" x14ac:dyDescent="0.3">
      <c r="N356" s="170">
        <v>38</v>
      </c>
      <c r="O356" s="199">
        <f t="shared" si="208"/>
        <v>23988.329190194923</v>
      </c>
      <c r="P356" s="189" t="str">
        <f t="shared" si="209"/>
        <v>108.75</v>
      </c>
      <c r="Q356" s="160" t="str">
        <f t="shared" si="210"/>
        <v>1+382.535272244491i</v>
      </c>
      <c r="R356" s="160">
        <f t="shared" si="218"/>
        <v>382.53657931126901</v>
      </c>
      <c r="S356" s="160">
        <f t="shared" si="219"/>
        <v>1.5681821947274508</v>
      </c>
      <c r="T356" s="160" t="str">
        <f t="shared" si="211"/>
        <v>1+0.0141679730460923i</v>
      </c>
      <c r="U356" s="160">
        <f t="shared" si="220"/>
        <v>1.0001003606939829</v>
      </c>
      <c r="V356" s="160">
        <f t="shared" si="221"/>
        <v>1.4167025174277596E-2</v>
      </c>
      <c r="W356" s="98" t="str">
        <f t="shared" si="212"/>
        <v>1-0.11253992774201i</v>
      </c>
      <c r="X356" s="160">
        <f t="shared" si="222"/>
        <v>1.0063126926240058</v>
      </c>
      <c r="Y356" s="160">
        <f t="shared" si="223"/>
        <v>-0.11206839097331711</v>
      </c>
      <c r="Z356" s="98" t="str">
        <f t="shared" si="213"/>
        <v>0.988376418384807+0.217078797508148i</v>
      </c>
      <c r="AA356" s="160">
        <f t="shared" si="224"/>
        <v>1.0119343599002668</v>
      </c>
      <c r="AB356" s="160">
        <f t="shared" si="225"/>
        <v>0.21619898496534221</v>
      </c>
      <c r="AC356" s="171" t="str">
        <f t="shared" si="226"/>
        <v>-0.0866510168547158-0.26913011347496i</v>
      </c>
      <c r="AD356" s="190">
        <f t="shared" si="227"/>
        <v>-10.972390250083723</v>
      </c>
      <c r="AE356" s="169">
        <f t="shared" si="228"/>
        <v>-107.84684570782338</v>
      </c>
      <c r="AF356" s="98" t="str">
        <f t="shared" si="214"/>
        <v>-0.0000366300366300366</v>
      </c>
      <c r="AG356" s="98" t="str">
        <f t="shared" si="215"/>
        <v>0.0103998951083018i</v>
      </c>
      <c r="AH356" s="98">
        <f t="shared" si="229"/>
        <v>1.0399895108301801E-2</v>
      </c>
      <c r="AI356" s="98">
        <f t="shared" si="230"/>
        <v>1.5707963267948966</v>
      </c>
      <c r="AJ356" s="98" t="str">
        <f t="shared" si="216"/>
        <v>1+1.48538724504205i</v>
      </c>
      <c r="AK356" s="98">
        <f t="shared" si="231"/>
        <v>1.7906354368585502</v>
      </c>
      <c r="AL356" s="98">
        <f t="shared" si="232"/>
        <v>0.97826699180970911</v>
      </c>
      <c r="AM356" s="98" t="str">
        <f t="shared" si="217"/>
        <v>1+102.491719907901i</v>
      </c>
      <c r="AN356" s="98">
        <f t="shared" si="233"/>
        <v>102.49659823467132</v>
      </c>
      <c r="AO356" s="98">
        <f t="shared" si="234"/>
        <v>1.5610397506496445</v>
      </c>
      <c r="AP356" s="168" t="str">
        <f t="shared" si="235"/>
        <v>-0.110953919104161+0.168331690655017i</v>
      </c>
      <c r="AQ356" s="98">
        <f t="shared" si="236"/>
        <v>-13.909786586063808</v>
      </c>
      <c r="AR356" s="169">
        <f t="shared" si="237"/>
        <v>123.39041949672365</v>
      </c>
      <c r="AS356" s="168" t="str">
        <f t="shared" si="238"/>
        <v>0.054917396921808+0.0152749286748637i</v>
      </c>
      <c r="AT356" s="190">
        <f t="shared" si="239"/>
        <v>-24.882176836147536</v>
      </c>
      <c r="AU356" s="169">
        <f t="shared" si="240"/>
        <v>15.543573788900273</v>
      </c>
      <c r="AV356" s="225"/>
      <c r="AX356">
        <f t="shared" si="241"/>
        <v>0</v>
      </c>
      <c r="AY356">
        <f t="shared" si="242"/>
        <v>0</v>
      </c>
    </row>
    <row r="357" spans="14:51" x14ac:dyDescent="0.3">
      <c r="N357" s="170">
        <v>39</v>
      </c>
      <c r="O357" s="199">
        <f t="shared" si="208"/>
        <v>24547.089156850321</v>
      </c>
      <c r="P357" s="189" t="str">
        <f t="shared" si="209"/>
        <v>108.75</v>
      </c>
      <c r="Q357" s="160" t="str">
        <f t="shared" si="210"/>
        <v>1+391.445663387997i</v>
      </c>
      <c r="R357" s="160">
        <f t="shared" si="218"/>
        <v>391.44694070240104</v>
      </c>
      <c r="S357" s="160">
        <f t="shared" si="219"/>
        <v>1.5682416993761887</v>
      </c>
      <c r="T357" s="160" t="str">
        <f t="shared" si="211"/>
        <v>1+0.0144979875328888i</v>
      </c>
      <c r="U357" s="160">
        <f t="shared" si="220"/>
        <v>1.0001050902992665</v>
      </c>
      <c r="V357" s="160">
        <f t="shared" si="221"/>
        <v>1.4496971875704468E-2</v>
      </c>
      <c r="W357" s="98" t="str">
        <f t="shared" si="212"/>
        <v>1-0.115161319410181i</v>
      </c>
      <c r="X357" s="160">
        <f t="shared" si="222"/>
        <v>1.0066092238243667</v>
      </c>
      <c r="Y357" s="160">
        <f t="shared" si="223"/>
        <v>-0.1146562376585949</v>
      </c>
      <c r="Z357" s="98" t="str">
        <f t="shared" si="213"/>
        <v>0.987828615860132+0.222135212262821i</v>
      </c>
      <c r="AA357" s="160">
        <f t="shared" si="224"/>
        <v>1.0124966305322665</v>
      </c>
      <c r="AB357" s="160">
        <f t="shared" si="225"/>
        <v>0.22119281466833479</v>
      </c>
      <c r="AC357" s="171" t="str">
        <f t="shared" si="226"/>
        <v>-0.0865770378266564-0.262310681844258i</v>
      </c>
      <c r="AD357" s="190">
        <f t="shared" si="227"/>
        <v>-11.174613617144063</v>
      </c>
      <c r="AE357" s="169">
        <f t="shared" si="228"/>
        <v>-108.26574857828331</v>
      </c>
      <c r="AF357" s="98" t="str">
        <f t="shared" si="214"/>
        <v>-0.0000366300366300366</v>
      </c>
      <c r="AG357" s="98" t="str">
        <f t="shared" si="215"/>
        <v>0.0106421397847801i</v>
      </c>
      <c r="AH357" s="98">
        <f t="shared" si="229"/>
        <v>1.06421397847801E-2</v>
      </c>
      <c r="AI357" s="98">
        <f t="shared" si="230"/>
        <v>1.5707963267948966</v>
      </c>
      <c r="AJ357" s="98" t="str">
        <f t="shared" si="216"/>
        <v>1+1.51998635867475i</v>
      </c>
      <c r="AK357" s="98">
        <f t="shared" si="231"/>
        <v>1.8194390703063748</v>
      </c>
      <c r="AL357" s="98">
        <f t="shared" si="232"/>
        <v>0.98888708788087698</v>
      </c>
      <c r="AM357" s="98" t="str">
        <f t="shared" si="217"/>
        <v>1+104.879058748557i</v>
      </c>
      <c r="AN357" s="98">
        <f t="shared" si="233"/>
        <v>104.88382603615902</v>
      </c>
      <c r="AO357" s="98">
        <f t="shared" si="234"/>
        <v>1.5612618238207161</v>
      </c>
      <c r="AP357" s="168" t="str">
        <f t="shared" si="235"/>
        <v>-0.107468692224647+0.166792926573291i</v>
      </c>
      <c r="AQ357" s="98">
        <f t="shared" si="236"/>
        <v>-14.048412021192879</v>
      </c>
      <c r="AR357" s="169">
        <f t="shared" si="237"/>
        <v>122.79465666926785</v>
      </c>
      <c r="AS357" s="168" t="str">
        <f t="shared" si="238"/>
        <v>0.0530558873281538+0.0137497484212033i</v>
      </c>
      <c r="AT357" s="190">
        <f t="shared" si="239"/>
        <v>-25.223025638336939</v>
      </c>
      <c r="AU357" s="169">
        <f t="shared" si="240"/>
        <v>14.528908090984526</v>
      </c>
      <c r="AV357" s="225"/>
      <c r="AX357">
        <f t="shared" si="241"/>
        <v>0</v>
      </c>
      <c r="AY357">
        <f t="shared" si="242"/>
        <v>0</v>
      </c>
    </row>
    <row r="358" spans="14:51" x14ac:dyDescent="0.3">
      <c r="N358" s="170">
        <v>40</v>
      </c>
      <c r="O358" s="199">
        <f t="shared" si="208"/>
        <v>25118.86431509586</v>
      </c>
      <c r="P358" s="189" t="str">
        <f t="shared" si="209"/>
        <v>108.75</v>
      </c>
      <c r="Q358" s="160" t="str">
        <f t="shared" si="210"/>
        <v>1+400.56360420363i</v>
      </c>
      <c r="R358" s="160">
        <f t="shared" si="218"/>
        <v>400.56485244290013</v>
      </c>
      <c r="S358" s="160">
        <f t="shared" si="219"/>
        <v>1.5682998495512364</v>
      </c>
      <c r="T358" s="160" t="str">
        <f t="shared" si="211"/>
        <v>1+0.0148356890445789i</v>
      </c>
      <c r="U358" s="160">
        <f t="shared" si="220"/>
        <v>1.0001100427800071</v>
      </c>
      <c r="V358" s="160">
        <f t="shared" si="221"/>
        <v>1.483460075476563E-2</v>
      </c>
      <c r="W358" s="98" t="str">
        <f t="shared" si="212"/>
        <v>1-0.117843771134244i</v>
      </c>
      <c r="X358" s="160">
        <f t="shared" si="222"/>
        <v>1.006919636512835</v>
      </c>
      <c r="Y358" s="160">
        <f t="shared" si="223"/>
        <v>-0.11730276695395991</v>
      </c>
      <c r="Z358" s="98" t="str">
        <f t="shared" si="213"/>
        <v>0.98725499619785+0.227309406047343i</v>
      </c>
      <c r="AA358" s="160">
        <f t="shared" si="224"/>
        <v>1.0130853831712372</v>
      </c>
      <c r="AB358" s="160">
        <f t="shared" si="225"/>
        <v>0.22629998832381196</v>
      </c>
      <c r="AC358" s="171" t="str">
        <f t="shared" si="226"/>
        <v>-0.0864966888507115-0.255631750434844i</v>
      </c>
      <c r="AD358" s="190">
        <f t="shared" si="227"/>
        <v>-11.376940490382115</v>
      </c>
      <c r="AE358" s="169">
        <f t="shared" si="228"/>
        <v>-108.69399008276095</v>
      </c>
      <c r="AF358" s="98" t="str">
        <f t="shared" si="214"/>
        <v>-0.0000366300366300366</v>
      </c>
      <c r="AG358" s="98" t="str">
        <f t="shared" si="215"/>
        <v>0.0108900270646377i</v>
      </c>
      <c r="AH358" s="98">
        <f t="shared" si="229"/>
        <v>1.08900270646377E-2</v>
      </c>
      <c r="AI358" s="98">
        <f t="shared" si="230"/>
        <v>1.5707963267948966</v>
      </c>
      <c r="AJ358" s="98" t="str">
        <f t="shared" si="216"/>
        <v>1+1.55539138919421i</v>
      </c>
      <c r="AK358" s="98">
        <f t="shared" si="231"/>
        <v>1.8491193508206805</v>
      </c>
      <c r="AL358" s="98">
        <f t="shared" si="232"/>
        <v>0.99941083805036279</v>
      </c>
      <c r="AM358" s="98" t="str">
        <f t="shared" si="217"/>
        <v>1+107.3220058544i</v>
      </c>
      <c r="AN358" s="98">
        <f t="shared" si="233"/>
        <v>107.32666463005297</v>
      </c>
      <c r="AO358" s="98">
        <f t="shared" si="234"/>
        <v>1.5614788428980053</v>
      </c>
      <c r="AP358" s="168" t="str">
        <f t="shared" si="235"/>
        <v>-0.104046412393183+0.165196525280636i</v>
      </c>
      <c r="AQ358" s="98">
        <f t="shared" si="236"/>
        <v>-14.188978330289858</v>
      </c>
      <c r="AR358" s="169">
        <f t="shared" si="237"/>
        <v>122.20412447710859</v>
      </c>
      <c r="AS358" s="168" t="str">
        <f t="shared" si="238"/>
        <v>0.0512291470820489+0.0123086140801171i</v>
      </c>
      <c r="AT358" s="190">
        <f t="shared" si="239"/>
        <v>-25.565918820671975</v>
      </c>
      <c r="AU358" s="169">
        <f t="shared" si="240"/>
        <v>13.510134394347585</v>
      </c>
      <c r="AV358" s="225"/>
      <c r="AX358">
        <f t="shared" si="241"/>
        <v>0</v>
      </c>
      <c r="AY358">
        <f t="shared" si="242"/>
        <v>0</v>
      </c>
    </row>
    <row r="359" spans="14:51" x14ac:dyDescent="0.3">
      <c r="N359" s="170">
        <v>41</v>
      </c>
      <c r="O359" s="199">
        <f t="shared" si="208"/>
        <v>25703.95782768865</v>
      </c>
      <c r="P359" s="189" t="str">
        <f t="shared" si="209"/>
        <v>108.75</v>
      </c>
      <c r="Q359" s="160" t="str">
        <f t="shared" si="210"/>
        <v>1+409.893929144295i</v>
      </c>
      <c r="R359" s="160">
        <f t="shared" si="218"/>
        <v>409.89514897025595</v>
      </c>
      <c r="S359" s="160">
        <f t="shared" si="219"/>
        <v>1.5683566760830121</v>
      </c>
      <c r="T359" s="160" t="str">
        <f t="shared" si="211"/>
        <v>1+0.015181256634974i</v>
      </c>
      <c r="U359" s="160">
        <f t="shared" si="220"/>
        <v>1.0001152286376891</v>
      </c>
      <c r="V359" s="160">
        <f t="shared" si="221"/>
        <v>1.5180090518685647E-2</v>
      </c>
      <c r="W359" s="98" t="str">
        <f t="shared" si="212"/>
        <v>1-0.120588705185609i</v>
      </c>
      <c r="X359" s="160">
        <f t="shared" si="222"/>
        <v>1.0072445759686879</v>
      </c>
      <c r="Y359" s="160">
        <f t="shared" si="223"/>
        <v>-0.12000923371146512</v>
      </c>
      <c r="Z359" s="98" t="str">
        <f t="shared" si="213"/>
        <v>0.986654342673751+0.232604122287746i</v>
      </c>
      <c r="AA359" s="160">
        <f t="shared" si="224"/>
        <v>1.0137018642688906</v>
      </c>
      <c r="AB359" s="160">
        <f t="shared" si="225"/>
        <v>0.23152293710259536</v>
      </c>
      <c r="AC359" s="171" t="str">
        <f t="shared" si="226"/>
        <v>-0.0864098273711895-0.249089876681288i</v>
      </c>
      <c r="AD359" s="190">
        <f t="shared" si="227"/>
        <v>-11.579375609226105</v>
      </c>
      <c r="AE359" s="169">
        <f t="shared" si="228"/>
        <v>-109.13177294209329</v>
      </c>
      <c r="AF359" s="98" t="str">
        <f t="shared" si="214"/>
        <v>-0.0000366300366300366</v>
      </c>
      <c r="AG359" s="98" t="str">
        <f t="shared" si="215"/>
        <v>0.0111436883809915i</v>
      </c>
      <c r="AH359" s="98">
        <f t="shared" si="229"/>
        <v>1.1143688380991499E-2</v>
      </c>
      <c r="AI359" s="98">
        <f t="shared" si="230"/>
        <v>1.5707963267948966</v>
      </c>
      <c r="AJ359" s="98" t="str">
        <f t="shared" si="216"/>
        <v>1+1.59162110881626i</v>
      </c>
      <c r="AK359" s="98">
        <f t="shared" si="231"/>
        <v>1.8796961866295046</v>
      </c>
      <c r="AL359" s="98">
        <f t="shared" si="232"/>
        <v>1.0098344979726082</v>
      </c>
      <c r="AM359" s="98" t="str">
        <f t="shared" si="217"/>
        <v>1+109.821856508322i</v>
      </c>
      <c r="AN359" s="98">
        <f t="shared" si="233"/>
        <v>109.82640924174143</v>
      </c>
      <c r="AO359" s="98">
        <f t="shared" si="234"/>
        <v>1.5616909228660842</v>
      </c>
      <c r="AP359" s="168" t="str">
        <f t="shared" si="235"/>
        <v>-0.100688918510962+0.163545673896047i</v>
      </c>
      <c r="AQ359" s="98">
        <f t="shared" si="236"/>
        <v>-14.331449637202784</v>
      </c>
      <c r="AR359" s="169">
        <f t="shared" si="237"/>
        <v>121.61904404357446</v>
      </c>
      <c r="AS359" s="168" t="str">
        <f t="shared" si="238"/>
        <v>0.0494380838092485+0.0109486368464055i</v>
      </c>
      <c r="AT359" s="190">
        <f t="shared" si="239"/>
        <v>-25.910825246428889</v>
      </c>
      <c r="AU359" s="169">
        <f t="shared" si="240"/>
        <v>12.487271101481166</v>
      </c>
      <c r="AV359" s="225"/>
      <c r="AX359">
        <f t="shared" si="241"/>
        <v>0</v>
      </c>
      <c r="AY359">
        <f t="shared" si="242"/>
        <v>0</v>
      </c>
    </row>
    <row r="360" spans="14:51" x14ac:dyDescent="0.3">
      <c r="N360" s="170">
        <v>42</v>
      </c>
      <c r="O360" s="199">
        <f t="shared" si="208"/>
        <v>26302.679918953829</v>
      </c>
      <c r="P360" s="189" t="str">
        <f t="shared" si="209"/>
        <v>108.75</v>
      </c>
      <c r="Q360" s="160" t="str">
        <f t="shared" si="210"/>
        <v>1+419.441585271781i</v>
      </c>
      <c r="R360" s="160">
        <f t="shared" si="218"/>
        <v>419.44277733119299</v>
      </c>
      <c r="S360" s="160">
        <f t="shared" si="219"/>
        <v>1.5684122091002266</v>
      </c>
      <c r="T360" s="160" t="str">
        <f t="shared" si="211"/>
        <v>1+0.0155348735285845i</v>
      </c>
      <c r="U360" s="160">
        <f t="shared" si="220"/>
        <v>1.0001206588684932</v>
      </c>
      <c r="V360" s="160">
        <f t="shared" si="221"/>
        <v>1.5533624020610915E-2</v>
      </c>
      <c r="W360" s="98" t="str">
        <f t="shared" si="212"/>
        <v>1-0.123397576964643i</v>
      </c>
      <c r="X360" s="160">
        <f t="shared" si="222"/>
        <v>1.0075847170341286</v>
      </c>
      <c r="Y360" s="160">
        <f t="shared" si="223"/>
        <v>-0.12277691425217201</v>
      </c>
      <c r="Z360" s="98" t="str">
        <f t="shared" si="213"/>
        <v>0.986025381221181+0.238022168312666i</v>
      </c>
      <c r="AA360" s="160">
        <f t="shared" si="224"/>
        <v>1.0143473788700981</v>
      </c>
      <c r="AB360" s="160">
        <f t="shared" si="225"/>
        <v>0.23686413433812076</v>
      </c>
      <c r="AC360" s="171" t="str">
        <f t="shared" si="226"/>
        <v>-0.0863162996067811-0.242681697213154i</v>
      </c>
      <c r="AD360" s="190">
        <f t="shared" si="227"/>
        <v>-11.781923924168066</v>
      </c>
      <c r="AE360" s="169">
        <f t="shared" si="228"/>
        <v>-109.57930324519202</v>
      </c>
      <c r="AF360" s="98" t="str">
        <f t="shared" si="214"/>
        <v>-0.0000366300366300366</v>
      </c>
      <c r="AG360" s="98" t="str">
        <f t="shared" si="215"/>
        <v>0.0114032582284291i</v>
      </c>
      <c r="AH360" s="98">
        <f t="shared" si="229"/>
        <v>1.14032582284291E-2</v>
      </c>
      <c r="AI360" s="98">
        <f t="shared" si="230"/>
        <v>1.5707963267948966</v>
      </c>
      <c r="AJ360" s="98" t="str">
        <f t="shared" si="216"/>
        <v>1+1.6286947270178i</v>
      </c>
      <c r="AK360" s="98">
        <f t="shared" si="231"/>
        <v>1.9111898162703742</v>
      </c>
      <c r="AL360" s="98">
        <f t="shared" si="232"/>
        <v>1.0201545336593545</v>
      </c>
      <c r="AM360" s="98" t="str">
        <f t="shared" si="217"/>
        <v>1+112.379936164228i</v>
      </c>
      <c r="AN360" s="98">
        <f t="shared" si="233"/>
        <v>112.38438526893299</v>
      </c>
      <c r="AO360" s="98">
        <f t="shared" si="234"/>
        <v>1.5618981760962043</v>
      </c>
      <c r="AP360" s="168" t="str">
        <f t="shared" si="235"/>
        <v>-0.0973978458435798+0.161843600966621i</v>
      </c>
      <c r="AQ360" s="98">
        <f t="shared" si="236"/>
        <v>-14.475789087585733</v>
      </c>
      <c r="AR360" s="169">
        <f t="shared" si="237"/>
        <v>121.03962428967596</v>
      </c>
      <c r="AS360" s="168" t="str">
        <f t="shared" si="238"/>
        <v>0.0476835014085576+0.0096669337837499i</v>
      </c>
      <c r="AT360" s="190">
        <f t="shared" si="239"/>
        <v>-26.257713011753793</v>
      </c>
      <c r="AU360" s="169">
        <f t="shared" si="240"/>
        <v>11.460321044483907</v>
      </c>
      <c r="AV360" s="225"/>
      <c r="AX360">
        <f t="shared" si="241"/>
        <v>0</v>
      </c>
      <c r="AY360">
        <f t="shared" si="242"/>
        <v>0</v>
      </c>
    </row>
    <row r="361" spans="14:51" x14ac:dyDescent="0.3">
      <c r="N361" s="170">
        <v>43</v>
      </c>
      <c r="O361" s="199">
        <f t="shared" si="208"/>
        <v>26915.348039269167</v>
      </c>
      <c r="P361" s="189" t="str">
        <f t="shared" si="209"/>
        <v>108.75</v>
      </c>
      <c r="Q361" s="160" t="str">
        <f t="shared" si="210"/>
        <v>1+429.211634879745i</v>
      </c>
      <c r="R361" s="160">
        <f t="shared" si="218"/>
        <v>429.21279980464647</v>
      </c>
      <c r="S361" s="160">
        <f t="shared" si="219"/>
        <v>1.5684664780458497</v>
      </c>
      <c r="T361" s="160" t="str">
        <f t="shared" si="211"/>
        <v>1+0.0158967272177684i</v>
      </c>
      <c r="U361" s="160">
        <f t="shared" si="220"/>
        <v>1.0001263449865903</v>
      </c>
      <c r="V361" s="160">
        <f t="shared" si="221"/>
        <v>1.5895388354987463E-2</v>
      </c>
      <c r="W361" s="98" t="str">
        <f t="shared" si="212"/>
        <v>1-0.126271875772345i</v>
      </c>
      <c r="X361" s="160">
        <f t="shared" si="222"/>
        <v>1.0079407654277441</v>
      </c>
      <c r="Y361" s="160">
        <f t="shared" si="223"/>
        <v>-0.12560710634130912</v>
      </c>
      <c r="Z361" s="98" t="str">
        <f t="shared" si="213"/>
        <v>0.98536677772857+0.243566416841821i</v>
      </c>
      <c r="AA361" s="160">
        <f t="shared" si="224"/>
        <v>1.0150232933604768</v>
      </c>
      <c r="AB361" s="160">
        <f t="shared" si="225"/>
        <v>0.24232609553059054</v>
      </c>
      <c r="AC361" s="171" t="str">
        <f t="shared" si="226"/>
        <v>-0.0862159404594608-0.236403926489126i</v>
      </c>
      <c r="AD361" s="190">
        <f t="shared" si="227"/>
        <v>-11.984590605531963</v>
      </c>
      <c r="AE361" s="169">
        <f t="shared" si="228"/>
        <v>-110.03679044330832</v>
      </c>
      <c r="AF361" s="98" t="str">
        <f t="shared" si="214"/>
        <v>-0.0000366300366300366</v>
      </c>
      <c r="AG361" s="98" t="str">
        <f t="shared" si="215"/>
        <v>0.0116688742343193i</v>
      </c>
      <c r="AH361" s="98">
        <f t="shared" si="229"/>
        <v>1.1668874234319299E-2</v>
      </c>
      <c r="AI361" s="98">
        <f t="shared" si="230"/>
        <v>1.5707963267948966</v>
      </c>
      <c r="AJ361" s="98" t="str">
        <f t="shared" si="216"/>
        <v>1+1.66663190072194i</v>
      </c>
      <c r="AK361" s="98">
        <f t="shared" si="231"/>
        <v>1.943620820145747</v>
      </c>
      <c r="AL361" s="98">
        <f t="shared" si="232"/>
        <v>1.0303676236330848</v>
      </c>
      <c r="AM361" s="98" t="str">
        <f t="shared" si="217"/>
        <v>1+114.997601149813i</v>
      </c>
      <c r="AN361" s="98">
        <f t="shared" si="233"/>
        <v>115.00194898440404</v>
      </c>
      <c r="AO361" s="98">
        <f t="shared" si="234"/>
        <v>1.5621007124055115</v>
      </c>
      <c r="AP361" s="168" t="str">
        <f t="shared" si="235"/>
        <v>-0.0941746276392897+0.160093562102479i</v>
      </c>
      <c r="AQ361" s="98">
        <f t="shared" si="236"/>
        <v>-14.621958963051537</v>
      </c>
      <c r="AR361" s="169">
        <f t="shared" si="237"/>
        <v>120.46606181411525</v>
      </c>
      <c r="AS361" s="168" t="str">
        <f t="shared" si="238"/>
        <v>0.0459661007759977+0.00846063473140914i</v>
      </c>
      <c r="AT361" s="190">
        <f t="shared" si="239"/>
        <v>-26.606549568583489</v>
      </c>
      <c r="AU361" s="169">
        <f t="shared" si="240"/>
        <v>10.429271370806925</v>
      </c>
      <c r="AV361" s="225"/>
      <c r="AX361">
        <f t="shared" si="241"/>
        <v>0</v>
      </c>
      <c r="AY361">
        <f t="shared" si="242"/>
        <v>0</v>
      </c>
    </row>
    <row r="362" spans="14:51" x14ac:dyDescent="0.3">
      <c r="N362" s="170">
        <v>44</v>
      </c>
      <c r="O362" s="199">
        <f t="shared" si="208"/>
        <v>27542.287033381719</v>
      </c>
      <c r="P362" s="189" t="str">
        <f t="shared" si="209"/>
        <v>108.75</v>
      </c>
      <c r="Q362" s="160" t="str">
        <f t="shared" si="210"/>
        <v>1+439.209258177809i</v>
      </c>
      <c r="R362" s="160">
        <f t="shared" si="218"/>
        <v>439.21039658585181</v>
      </c>
      <c r="S362" s="160">
        <f t="shared" si="219"/>
        <v>1.5685195116927153</v>
      </c>
      <c r="T362" s="160" t="str">
        <f t="shared" si="211"/>
        <v>1+0.0162670095621411i</v>
      </c>
      <c r="U362" s="160">
        <f t="shared" si="220"/>
        <v>1.0001322990485282</v>
      </c>
      <c r="V362" s="160">
        <f t="shared" si="221"/>
        <v>1.6265574955073515E-2</v>
      </c>
      <c r="W362" s="98" t="str">
        <f t="shared" si="212"/>
        <v>1-0.129213125599986i</v>
      </c>
      <c r="X362" s="160">
        <f t="shared" si="222"/>
        <v>1.0083134591124516</v>
      </c>
      <c r="Y362" s="160">
        <f t="shared" si="223"/>
        <v>-0.12850112912883985</v>
      </c>
      <c r="Z362" s="98" t="str">
        <f t="shared" si="213"/>
        <v>0.984677135209611+0.249239807509169i</v>
      </c>
      <c r="AA362" s="160">
        <f t="shared" si="224"/>
        <v>1.0157310383422444</v>
      </c>
      <c r="AB362" s="160">
        <f t="shared" si="225"/>
        <v>0.24791137828794516</v>
      </c>
      <c r="AC362" s="171" t="str">
        <f t="shared" si="226"/>
        <v>-0.0861085734200003-0.230253355495754i</v>
      </c>
      <c r="AD362" s="190">
        <f t="shared" si="227"/>
        <v>-12.187381052549044</v>
      </c>
      <c r="AE362" s="169">
        <f t="shared" si="228"/>
        <v>-110.50444733855242</v>
      </c>
      <c r="AF362" s="98" t="str">
        <f t="shared" si="214"/>
        <v>-0.0000366300366300366</v>
      </c>
      <c r="AG362" s="98" t="str">
        <f t="shared" si="215"/>
        <v>0.0119406772317844i</v>
      </c>
      <c r="AH362" s="98">
        <f t="shared" si="229"/>
        <v>1.1940677231784399E-2</v>
      </c>
      <c r="AI362" s="98">
        <f t="shared" si="230"/>
        <v>1.5707963267948966</v>
      </c>
      <c r="AJ362" s="98" t="str">
        <f t="shared" si="216"/>
        <v>1+1.70545274472031i</v>
      </c>
      <c r="AK362" s="98">
        <f t="shared" si="231"/>
        <v>1.9770101326179486</v>
      </c>
      <c r="AL362" s="98">
        <f t="shared" si="232"/>
        <v>1.0404706601682647</v>
      </c>
      <c r="AM362" s="98" t="str">
        <f t="shared" si="217"/>
        <v>1+117.676239385701i</v>
      </c>
      <c r="AN362" s="98">
        <f t="shared" si="233"/>
        <v>117.68048825510881</v>
      </c>
      <c r="AO362" s="98">
        <f t="shared" si="234"/>
        <v>1.5622986391149345</v>
      </c>
      <c r="AP362" s="168" t="str">
        <f t="shared" si="235"/>
        <v>-0.0910204978357146+0.158298826126695i</v>
      </c>
      <c r="AQ362" s="98">
        <f t="shared" si="236"/>
        <v>-14.769920794103022</v>
      </c>
      <c r="AR362" s="169">
        <f t="shared" si="237"/>
        <v>119.8985408254858</v>
      </c>
      <c r="AS362" s="168" t="str">
        <f t="shared" si="238"/>
        <v>0.0442864811073221+0.00732688895373692i</v>
      </c>
      <c r="AT362" s="190">
        <f t="shared" si="239"/>
        <v>-26.957301846652058</v>
      </c>
      <c r="AU362" s="169">
        <f t="shared" si="240"/>
        <v>9.394093486933345</v>
      </c>
      <c r="AV362" s="225"/>
      <c r="AX362">
        <f t="shared" si="241"/>
        <v>0</v>
      </c>
      <c r="AY362">
        <f t="shared" si="242"/>
        <v>0</v>
      </c>
    </row>
    <row r="363" spans="14:51" x14ac:dyDescent="0.3">
      <c r="N363" s="170">
        <v>45</v>
      </c>
      <c r="O363" s="199">
        <f t="shared" si="208"/>
        <v>28183.829312644593</v>
      </c>
      <c r="P363" s="189" t="str">
        <f t="shared" si="209"/>
        <v>108.75</v>
      </c>
      <c r="Q363" s="160" t="str">
        <f t="shared" si="210"/>
        <v>1+449.439756038181i</v>
      </c>
      <c r="R363" s="160">
        <f t="shared" si="218"/>
        <v>449.44086853295801</v>
      </c>
      <c r="S363" s="160">
        <f t="shared" si="219"/>
        <v>1.5685713381587711</v>
      </c>
      <c r="T363" s="160" t="str">
        <f t="shared" si="211"/>
        <v>1+0.016645916890303i</v>
      </c>
      <c r="U363" s="160">
        <f t="shared" si="220"/>
        <v>1.0001385336787694</v>
      </c>
      <c r="V363" s="160">
        <f t="shared" si="221"/>
        <v>1.6644379692634305E-2</v>
      </c>
      <c r="W363" s="98" t="str">
        <f t="shared" si="212"/>
        <v>1-0.132222885937159i</v>
      </c>
      <c r="X363" s="160">
        <f t="shared" si="222"/>
        <v>1.0087035697198414</v>
      </c>
      <c r="Y363" s="160">
        <f t="shared" si="223"/>
        <v>-0.13146032305263791</v>
      </c>
      <c r="Z363" s="98" t="str">
        <f t="shared" si="213"/>
        <v>0.98395499084006+0.255045348421537i</v>
      </c>
      <c r="AA363" s="160">
        <f t="shared" si="224"/>
        <v>1.0164721116442526</v>
      </c>
      <c r="AB363" s="160">
        <f t="shared" si="225"/>
        <v>0.25362258219841499</v>
      </c>
      <c r="AC363" s="171" t="str">
        <f t="shared" si="226"/>
        <v>-0.0859940104715973-0.224226850511128i</v>
      </c>
      <c r="AD363" s="190">
        <f t="shared" si="227"/>
        <v>-12.390300902745629</v>
      </c>
      <c r="AE363" s="169">
        <f t="shared" si="228"/>
        <v>-110.98249006620568</v>
      </c>
      <c r="AF363" s="98" t="str">
        <f t="shared" si="214"/>
        <v>-0.0000366300366300366</v>
      </c>
      <c r="AG363" s="98" t="str">
        <f t="shared" si="215"/>
        <v>0.0122188113343713i</v>
      </c>
      <c r="AH363" s="98">
        <f t="shared" si="229"/>
        <v>1.2218811334371299E-2</v>
      </c>
      <c r="AI363" s="98">
        <f t="shared" si="230"/>
        <v>1.5707963267948966</v>
      </c>
      <c r="AJ363" s="98" t="str">
        <f t="shared" si="216"/>
        <v>1+1.74517784233828i</v>
      </c>
      <c r="AK363" s="98">
        <f t="shared" si="231"/>
        <v>2.0113790546260777</v>
      </c>
      <c r="AL363" s="98">
        <f t="shared" si="232"/>
        <v>1.050460749656472</v>
      </c>
      <c r="AM363" s="98" t="str">
        <f t="shared" si="217"/>
        <v>1+120.417271121341i</v>
      </c>
      <c r="AN363" s="98">
        <f t="shared" si="233"/>
        <v>120.42142327804694</v>
      </c>
      <c r="AO363" s="98">
        <f t="shared" si="234"/>
        <v>1.562492061105768</v>
      </c>
      <c r="AP363" s="168" t="str">
        <f t="shared" si="235"/>
        <v>-0.0879364947730358+0.156462661822823i</v>
      </c>
      <c r="AQ363" s="98">
        <f t="shared" si="236"/>
        <v>-14.919635471251443</v>
      </c>
      <c r="AR363" s="169">
        <f t="shared" si="237"/>
        <v>119.33723312459325</v>
      </c>
      <c r="AS363" s="168" t="str">
        <f t="shared" si="238"/>
        <v>0.0426451417354673+0.00626287148874026i</v>
      </c>
      <c r="AT363" s="190">
        <f t="shared" si="239"/>
        <v>-27.309936373997076</v>
      </c>
      <c r="AU363" s="169">
        <f t="shared" si="240"/>
        <v>8.3547430583875606</v>
      </c>
      <c r="AV363" s="225"/>
      <c r="AX363">
        <f t="shared" si="241"/>
        <v>0</v>
      </c>
      <c r="AY363">
        <f t="shared" si="242"/>
        <v>0</v>
      </c>
    </row>
    <row r="364" spans="14:51" x14ac:dyDescent="0.3">
      <c r="N364" s="170">
        <v>46</v>
      </c>
      <c r="O364" s="199">
        <f t="shared" si="208"/>
        <v>28840.315031266062</v>
      </c>
      <c r="P364" s="189" t="str">
        <f t="shared" si="209"/>
        <v>108.75</v>
      </c>
      <c r="Q364" s="160" t="str">
        <f t="shared" si="210"/>
        <v>1+459.90855280624i</v>
      </c>
      <c r="R364" s="160">
        <f t="shared" si="218"/>
        <v>459.90963997760474</v>
      </c>
      <c r="S364" s="160">
        <f t="shared" si="219"/>
        <v>1.5686219849219809</v>
      </c>
      <c r="T364" s="160" t="str">
        <f t="shared" si="211"/>
        <v>1+0.0170336501039349i</v>
      </c>
      <c r="U364" s="160">
        <f t="shared" si="220"/>
        <v>1.0001450620964256</v>
      </c>
      <c r="V364" s="160">
        <f t="shared" si="221"/>
        <v>1.7032002979859507E-2</v>
      </c>
      <c r="W364" s="98" t="str">
        <f t="shared" si="212"/>
        <v>1-0.135302752598632i</v>
      </c>
      <c r="X364" s="160">
        <f t="shared" si="222"/>
        <v>1.0091119040328316</v>
      </c>
      <c r="Y364" s="160">
        <f t="shared" si="223"/>
        <v>-0.13448604970124328</v>
      </c>
      <c r="Z364" s="98" t="str">
        <f t="shared" si="213"/>
        <v>0.983198812854889+0.260986117753561i</v>
      </c>
      <c r="AA364" s="160">
        <f t="shared" si="224"/>
        <v>1.0172480814724296</v>
      </c>
      <c r="AB364" s="160">
        <f t="shared" si="225"/>
        <v>0.25946234862912748</v>
      </c>
      <c r="AC364" s="171" t="str">
        <f t="shared" si="226"/>
        <v>-0.0858720519932339-0.218321351933842i</v>
      </c>
      <c r="AD364" s="190">
        <f t="shared" si="227"/>
        <v>-12.593356041647457</v>
      </c>
      <c r="AE364" s="169">
        <f t="shared" si="228"/>
        <v>-111.47113807033195</v>
      </c>
      <c r="AF364" s="98" t="str">
        <f t="shared" si="214"/>
        <v>-0.0000366300366300366</v>
      </c>
      <c r="AG364" s="98" t="str">
        <f t="shared" si="215"/>
        <v>0.0125034240124628i</v>
      </c>
      <c r="AH364" s="98">
        <f t="shared" si="229"/>
        <v>1.2503424012462801E-2</v>
      </c>
      <c r="AI364" s="98">
        <f t="shared" si="230"/>
        <v>1.5707963267948966</v>
      </c>
      <c r="AJ364" s="98" t="str">
        <f t="shared" si="216"/>
        <v>1+1.78582825634839i</v>
      </c>
      <c r="AK364" s="98">
        <f t="shared" si="231"/>
        <v>2.0467492668063501</v>
      </c>
      <c r="AL364" s="98">
        <f t="shared" si="232"/>
        <v>1.0603352121363292</v>
      </c>
      <c r="AM364" s="98" t="str">
        <f t="shared" si="217"/>
        <v>1+123.222149688039i</v>
      </c>
      <c r="AN364" s="98">
        <f t="shared" si="233"/>
        <v>123.22620733326775</v>
      </c>
      <c r="AO364" s="98">
        <f t="shared" si="234"/>
        <v>1.5626810808749885</v>
      </c>
      <c r="AP364" s="168" t="str">
        <f t="shared" si="235"/>
        <v>-0.0849234658262644+0.154588325350906i</v>
      </c>
      <c r="AQ364" s="98">
        <f t="shared" si="236"/>
        <v>-15.071063353782471</v>
      </c>
      <c r="AR364" s="169">
        <f t="shared" si="237"/>
        <v>118.78229813455805</v>
      </c>
      <c r="AS364" s="168" t="str">
        <f t="shared" si="238"/>
        <v>0.041042484456677+0.00526578915801751i</v>
      </c>
      <c r="AT364" s="190">
        <f t="shared" si="239"/>
        <v>-27.664419395429931</v>
      </c>
      <c r="AU364" s="169">
        <f t="shared" si="240"/>
        <v>7.3111600642261081</v>
      </c>
      <c r="AV364" s="225"/>
      <c r="AX364">
        <f t="shared" si="241"/>
        <v>0</v>
      </c>
      <c r="AY364">
        <f t="shared" si="242"/>
        <v>0</v>
      </c>
    </row>
    <row r="365" spans="14:51" x14ac:dyDescent="0.3">
      <c r="N365" s="170">
        <v>47</v>
      </c>
      <c r="O365" s="199">
        <f t="shared" si="208"/>
        <v>29512.092266663854</v>
      </c>
      <c r="P365" s="189" t="str">
        <f t="shared" si="209"/>
        <v>108.75</v>
      </c>
      <c r="Q365" s="160" t="str">
        <f t="shared" si="210"/>
        <v>1+470.62119917661i</v>
      </c>
      <c r="R365" s="160">
        <f t="shared" si="218"/>
        <v>470.62226160098976</v>
      </c>
      <c r="S365" s="160">
        <f t="shared" si="219"/>
        <v>1.5686714788348894</v>
      </c>
      <c r="T365" s="160" t="str">
        <f t="shared" si="211"/>
        <v>1+0.017430414784319i</v>
      </c>
      <c r="U365" s="160">
        <f t="shared" si="220"/>
        <v>1.0001518981432538</v>
      </c>
      <c r="V365" s="160">
        <f t="shared" si="221"/>
        <v>1.742864987355076E-2</v>
      </c>
      <c r="W365" s="98" t="str">
        <f t="shared" si="212"/>
        <v>1-0.138454358570477i</v>
      </c>
      <c r="X365" s="160">
        <f t="shared" si="222"/>
        <v>1.0095393055285973</v>
      </c>
      <c r="Y365" s="160">
        <f t="shared" si="223"/>
        <v>-0.13757969163307071</v>
      </c>
      <c r="Z365" s="98" t="str">
        <f t="shared" si="213"/>
        <v>0.982406997299208+0.26706526537978i</v>
      </c>
      <c r="AA365" s="160">
        <f t="shared" si="224"/>
        <v>1.0180605897071247</v>
      </c>
      <c r="AB365" s="160">
        <f t="shared" si="225"/>
        <v>0.26543336044491894</v>
      </c>
      <c r="AC365" s="171" t="str">
        <f t="shared" si="226"/>
        <v>-0.0857424866645255-0.212533873177596i</v>
      </c>
      <c r="AD365" s="190">
        <f t="shared" si="227"/>
        <v>-12.796552612805097</v>
      </c>
      <c r="AE365" s="169">
        <f t="shared" si="228"/>
        <v>-111.97061407217367</v>
      </c>
      <c r="AF365" s="98" t="str">
        <f t="shared" si="214"/>
        <v>-0.0000366300366300366</v>
      </c>
      <c r="AG365" s="98" t="str">
        <f t="shared" si="215"/>
        <v>0.0127946661714681i</v>
      </c>
      <c r="AH365" s="98">
        <f t="shared" si="229"/>
        <v>1.27946661714681E-2</v>
      </c>
      <c r="AI365" s="98">
        <f t="shared" si="230"/>
        <v>1.5707963267948966</v>
      </c>
      <c r="AJ365" s="98" t="str">
        <f t="shared" si="216"/>
        <v>1+1.82742554013828i</v>
      </c>
      <c r="AK365" s="98">
        <f t="shared" si="231"/>
        <v>2.0831428430978236</v>
      </c>
      <c r="AL365" s="98">
        <f t="shared" si="232"/>
        <v>1.0700915800335831</v>
      </c>
      <c r="AM365" s="98" t="str">
        <f t="shared" si="217"/>
        <v>1+126.092362269541i</v>
      </c>
      <c r="AN365" s="98">
        <f t="shared" si="233"/>
        <v>126.09632755442631</v>
      </c>
      <c r="AO365" s="98">
        <f t="shared" si="234"/>
        <v>1.5628657985893213</v>
      </c>
      <c r="AP365" s="168" t="str">
        <f t="shared" si="235"/>
        <v>-0.0819820728653695+0.152679048391219i</v>
      </c>
      <c r="AQ365" s="98">
        <f t="shared" si="236"/>
        <v>-15.224164375677216</v>
      </c>
      <c r="AR365" s="169">
        <f t="shared" si="237"/>
        <v>118.23388297610099</v>
      </c>
      <c r="AS365" s="168" t="str">
        <f t="shared" si="238"/>
        <v>0.0394788162970445+0.00433288620656834i</v>
      </c>
      <c r="AT365" s="190">
        <f t="shared" si="239"/>
        <v>-28.02071698848231</v>
      </c>
      <c r="AU365" s="169">
        <f t="shared" si="240"/>
        <v>6.2632689039273064</v>
      </c>
      <c r="AV365" s="225"/>
      <c r="AX365">
        <f t="shared" si="241"/>
        <v>0</v>
      </c>
      <c r="AY365">
        <f t="shared" si="242"/>
        <v>0</v>
      </c>
    </row>
    <row r="366" spans="14:51" x14ac:dyDescent="0.3">
      <c r="N366" s="170">
        <v>48</v>
      </c>
      <c r="O366" s="199">
        <f t="shared" si="208"/>
        <v>30199.517204020212</v>
      </c>
      <c r="P366" s="189" t="str">
        <f t="shared" si="209"/>
        <v>108.75</v>
      </c>
      <c r="Q366" s="160" t="str">
        <f t="shared" si="210"/>
        <v>1+481.58337513619i</v>
      </c>
      <c r="R366" s="160">
        <f t="shared" si="218"/>
        <v>481.58441337689106</v>
      </c>
      <c r="S366" s="160">
        <f t="shared" si="219"/>
        <v>1.5687198461388534</v>
      </c>
      <c r="T366" s="160" t="str">
        <f t="shared" si="211"/>
        <v>1+0.0178364213013404i</v>
      </c>
      <c r="U366" s="160">
        <f t="shared" si="220"/>
        <v>1.0001590563129641</v>
      </c>
      <c r="V366" s="160">
        <f t="shared" si="221"/>
        <v>1.7834530181622964E-2</v>
      </c>
      <c r="W366" s="98" t="str">
        <f t="shared" si="212"/>
        <v>1-0.141679374875896i</v>
      </c>
      <c r="X366" s="160">
        <f t="shared" si="222"/>
        <v>1.0099866559837436</v>
      </c>
      <c r="Y366" s="160">
        <f t="shared" si="223"/>
        <v>-0.14074265214870568</v>
      </c>
      <c r="Z366" s="98" t="str">
        <f t="shared" si="213"/>
        <v>0.981577864626064+0.273286014544729i</v>
      </c>
      <c r="AA366" s="160">
        <f t="shared" si="224"/>
        <v>1.0189113553541373</v>
      </c>
      <c r="AB366" s="160">
        <f t="shared" si="225"/>
        <v>0.27153834164115881</v>
      </c>
      <c r="AC366" s="171" t="str">
        <f t="shared" si="226"/>
        <v>-0.0856050913739454-0.206861499631858i</v>
      </c>
      <c r="AD366" s="190">
        <f t="shared" si="227"/>
        <v>-12.999897028142584</v>
      </c>
      <c r="AE366" s="169">
        <f t="shared" si="228"/>
        <v>-112.48114403078098</v>
      </c>
      <c r="AF366" s="98" t="str">
        <f t="shared" si="214"/>
        <v>-0.0000366300366300366</v>
      </c>
      <c r="AG366" s="98" t="str">
        <f t="shared" si="215"/>
        <v>0.013092692231835i</v>
      </c>
      <c r="AH366" s="98">
        <f t="shared" si="229"/>
        <v>1.3092692231835E-2</v>
      </c>
      <c r="AI366" s="98">
        <f t="shared" si="230"/>
        <v>1.5707963267948966</v>
      </c>
      <c r="AJ366" s="98" t="str">
        <f t="shared" si="216"/>
        <v>1+1.86999174913837i</v>
      </c>
      <c r="AK366" s="98">
        <f t="shared" si="231"/>
        <v>2.1205822648144497</v>
      </c>
      <c r="AL366" s="98">
        <f t="shared" si="232"/>
        <v>1.0797275961598389</v>
      </c>
      <c r="AM366" s="98" t="str">
        <f t="shared" si="217"/>
        <v>1+129.029430690547i</v>
      </c>
      <c r="AN366" s="98">
        <f t="shared" si="233"/>
        <v>129.03330571727079</v>
      </c>
      <c r="AO366" s="98">
        <f t="shared" si="234"/>
        <v>1.5630463121380929</v>
      </c>
      <c r="AP366" s="168" t="str">
        <f t="shared" si="235"/>
        <v>-0.0791127984497432+0.150738027063289i</v>
      </c>
      <c r="AQ366" s="98">
        <f t="shared" si="236"/>
        <v>-15.378898148250764</v>
      </c>
      <c r="AR366" s="169">
        <f t="shared" si="237"/>
        <v>117.69212258523601</v>
      </c>
      <c r="AS366" s="168" t="str">
        <f t="shared" si="238"/>
        <v>0.0379543526699984+0.0034614495471057i</v>
      </c>
      <c r="AT366" s="190">
        <f t="shared" si="239"/>
        <v>-28.378795176393336</v>
      </c>
      <c r="AU366" s="169">
        <f t="shared" si="240"/>
        <v>5.2109785544550062</v>
      </c>
      <c r="AV366" s="225"/>
      <c r="AX366">
        <f t="shared" si="241"/>
        <v>0</v>
      </c>
      <c r="AY366">
        <f t="shared" si="242"/>
        <v>0</v>
      </c>
    </row>
    <row r="367" spans="14:51" x14ac:dyDescent="0.3">
      <c r="N367" s="170">
        <v>49</v>
      </c>
      <c r="O367" s="199">
        <f t="shared" si="208"/>
        <v>30902.954325135954</v>
      </c>
      <c r="P367" s="189" t="str">
        <f t="shared" si="209"/>
        <v>108.75</v>
      </c>
      <c r="Q367" s="160" t="str">
        <f t="shared" si="210"/>
        <v>1+492.800892975777i</v>
      </c>
      <c r="R367" s="160">
        <f t="shared" si="218"/>
        <v>492.80190758328365</v>
      </c>
      <c r="S367" s="160">
        <f t="shared" si="219"/>
        <v>1.5687671124779523</v>
      </c>
      <c r="T367" s="160" t="str">
        <f t="shared" si="211"/>
        <v>1+0.0182518849250288i</v>
      </c>
      <c r="U367" s="160">
        <f t="shared" si="220"/>
        <v>1.0001665517819103</v>
      </c>
      <c r="V367" s="160">
        <f t="shared" si="221"/>
        <v>1.8249858571967346E-2</v>
      </c>
      <c r="W367" s="98" t="str">
        <f t="shared" si="212"/>
        <v>1-0.144979511461222i</v>
      </c>
      <c r="X367" s="160">
        <f t="shared" si="222"/>
        <v>1.0104548771437221</v>
      </c>
      <c r="Y367" s="160">
        <f t="shared" si="223"/>
        <v>-0.14397635501278749</v>
      </c>
      <c r="Z367" s="98" t="str">
        <f t="shared" si="213"/>
        <v>0.980709656133893+0.279651663571957i</v>
      </c>
      <c r="AA367" s="160">
        <f t="shared" si="224"/>
        <v>1.0198021781565394</v>
      </c>
      <c r="AB367" s="160">
        <f t="shared" si="225"/>
        <v>0.27778005688411644</v>
      </c>
      <c r="AC367" s="171" t="str">
        <f t="shared" si="226"/>
        <v>-0.0854596311324766-0.201301387688949i</v>
      </c>
      <c r="AD367" s="190">
        <f t="shared" si="227"/>
        <v>-13.203395978632651</v>
      </c>
      <c r="AE367" s="169">
        <f t="shared" si="228"/>
        <v>-113.00295709530094</v>
      </c>
      <c r="AF367" s="98" t="str">
        <f t="shared" si="214"/>
        <v>-0.0000366300366300366</v>
      </c>
      <c r="AG367" s="98" t="str">
        <f t="shared" si="215"/>
        <v>0.0133976602109254i</v>
      </c>
      <c r="AH367" s="98">
        <f t="shared" si="229"/>
        <v>1.3397660210925399E-2</v>
      </c>
      <c r="AI367" s="98">
        <f t="shared" si="230"/>
        <v>1.5707963267948966</v>
      </c>
      <c r="AJ367" s="98" t="str">
        <f t="shared" si="216"/>
        <v>1+1.91354945251613i</v>
      </c>
      <c r="AK367" s="98">
        <f t="shared" si="231"/>
        <v>2.1590904351658784</v>
      </c>
      <c r="AL367" s="98">
        <f t="shared" si="232"/>
        <v>1.0892412110215204</v>
      </c>
      <c r="AM367" s="98" t="str">
        <f t="shared" si="217"/>
        <v>1+132.034912223612i</v>
      </c>
      <c r="AN367" s="98">
        <f t="shared" si="233"/>
        <v>132.03869904651788</v>
      </c>
      <c r="AO367" s="98">
        <f t="shared" si="234"/>
        <v>1.5632227171848931</v>
      </c>
      <c r="AP367" s="168" t="str">
        <f t="shared" si="235"/>
        <v>-0.076315952662545+0.148768411656476i</v>
      </c>
      <c r="AQ367" s="98">
        <f t="shared" si="236"/>
        <v>-15.53522405912098</v>
      </c>
      <c r="AR367" s="169">
        <f t="shared" si="237"/>
        <v>117.15713987041543</v>
      </c>
      <c r="AS367" s="168" t="str">
        <f t="shared" si="238"/>
        <v>0.0364692208747941+0.00264881358944758i</v>
      </c>
      <c r="AT367" s="190">
        <f t="shared" si="239"/>
        <v>-28.738620037753627</v>
      </c>
      <c r="AU367" s="169">
        <f t="shared" si="240"/>
        <v>4.1541827751144993</v>
      </c>
      <c r="AV367" s="225"/>
      <c r="AX367">
        <f t="shared" si="241"/>
        <v>0</v>
      </c>
      <c r="AY367">
        <f t="shared" si="242"/>
        <v>0</v>
      </c>
    </row>
    <row r="368" spans="14:51" x14ac:dyDescent="0.3">
      <c r="N368" s="170">
        <v>50</v>
      </c>
      <c r="O368" s="199">
        <f t="shared" si="208"/>
        <v>31622.77660168384</v>
      </c>
      <c r="P368" s="189" t="str">
        <f t="shared" si="209"/>
        <v>108.75</v>
      </c>
      <c r="Q368" s="160" t="str">
        <f t="shared" si="210"/>
        <v>1+504.27970037181i</v>
      </c>
      <c r="R368" s="160">
        <f t="shared" si="218"/>
        <v>504.28069188407608</v>
      </c>
      <c r="S368" s="160">
        <f t="shared" si="219"/>
        <v>1.5688133029125795</v>
      </c>
      <c r="T368" s="160" t="str">
        <f t="shared" si="211"/>
        <v>1+0.0186770259396967i</v>
      </c>
      <c r="U368" s="160">
        <f t="shared" si="220"/>
        <v>1.000174400441219</v>
      </c>
      <c r="V368" s="160">
        <f t="shared" si="221"/>
        <v>1.8674854683719665E-2</v>
      </c>
      <c r="W368" s="98" t="str">
        <f t="shared" si="212"/>
        <v>1-0.148356518102556i</v>
      </c>
      <c r="X368" s="160">
        <f t="shared" si="222"/>
        <v>1.0109449324584965</v>
      </c>
      <c r="Y368" s="160">
        <f t="shared" si="223"/>
        <v>-0.14728224412176566</v>
      </c>
      <c r="Z368" s="98" t="str">
        <f t="shared" si="213"/>
        <v>0.979800530236081+0.286165587612838i</v>
      </c>
      <c r="AA368" s="160">
        <f t="shared" si="224"/>
        <v>1.0207349423747119</v>
      </c>
      <c r="AB368" s="160">
        <f t="shared" si="225"/>
        <v>0.28416131095197833</v>
      </c>
      <c r="AC368" s="171" t="str">
        <f t="shared" si="226"/>
        <v>-0.0853058589948998-0.195850763837964i</v>
      </c>
      <c r="AD368" s="190">
        <f t="shared" si="227"/>
        <v>-13.407056445299304</v>
      </c>
      <c r="AE368" s="169">
        <f t="shared" si="228"/>
        <v>-113.53628554831793</v>
      </c>
      <c r="AF368" s="98" t="str">
        <f t="shared" si="214"/>
        <v>-0.0000366300366300366</v>
      </c>
      <c r="AG368" s="98" t="str">
        <f t="shared" si="215"/>
        <v>0.0137097318067986i</v>
      </c>
      <c r="AH368" s="98">
        <f t="shared" si="229"/>
        <v>1.3709731806798599E-2</v>
      </c>
      <c r="AI368" s="98">
        <f t="shared" si="230"/>
        <v>1.5707963267948966</v>
      </c>
      <c r="AJ368" s="98" t="str">
        <f t="shared" si="216"/>
        <v>1+1.95812174514242i</v>
      </c>
      <c r="AK368" s="98">
        <f t="shared" si="231"/>
        <v>2.1986906942086231</v>
      </c>
      <c r="AL368" s="98">
        <f t="shared" si="232"/>
        <v>1.0986305794922613</v>
      </c>
      <c r="AM368" s="98" t="str">
        <f t="shared" si="217"/>
        <v>1+135.110400414827i</v>
      </c>
      <c r="AN368" s="98">
        <f t="shared" si="233"/>
        <v>135.11410104150818</v>
      </c>
      <c r="AO368" s="98">
        <f t="shared" si="234"/>
        <v>1.5633951072180714</v>
      </c>
      <c r="AP368" s="168" t="str">
        <f t="shared" si="235"/>
        <v>-0.0735916804909248+0.146773297197445i</v>
      </c>
      <c r="AQ368" s="98">
        <f t="shared" si="236"/>
        <v>-15.693101367174551</v>
      </c>
      <c r="AR368" s="169">
        <f t="shared" si="237"/>
        <v>116.62904590607981</v>
      </c>
      <c r="AS368" s="168" t="str">
        <f t="shared" si="238"/>
        <v>0.0350234638862926+0.00189236464132525i</v>
      </c>
      <c r="AT368" s="190">
        <f t="shared" si="239"/>
        <v>-29.100157812473867</v>
      </c>
      <c r="AU368" s="169">
        <f t="shared" si="240"/>
        <v>3.0927603577618794</v>
      </c>
      <c r="AV368" s="225"/>
      <c r="AX368">
        <f t="shared" si="241"/>
        <v>0</v>
      </c>
      <c r="AY368">
        <f t="shared" si="242"/>
        <v>0</v>
      </c>
    </row>
    <row r="369" spans="14:51" x14ac:dyDescent="0.3">
      <c r="N369" s="170">
        <v>51</v>
      </c>
      <c r="O369" s="199">
        <f t="shared" si="208"/>
        <v>32359.365692962871</v>
      </c>
      <c r="P369" s="189" t="str">
        <f t="shared" si="209"/>
        <v>108.75</v>
      </c>
      <c r="Q369" s="160" t="str">
        <f t="shared" si="210"/>
        <v>1+516.025883539911i</v>
      </c>
      <c r="R369" s="160">
        <f t="shared" si="218"/>
        <v>516.02685248264527</v>
      </c>
      <c r="S369" s="160">
        <f t="shared" si="219"/>
        <v>1.5688584419327256</v>
      </c>
      <c r="T369" s="160" t="str">
        <f t="shared" si="211"/>
        <v>1+0.0191120697607375i</v>
      </c>
      <c r="U369" s="160">
        <f t="shared" si="220"/>
        <v>1.0001826189304328</v>
      </c>
      <c r="V369" s="160">
        <f t="shared" si="221"/>
        <v>1.9109743240983492E-2</v>
      </c>
      <c r="W369" s="98" t="str">
        <f t="shared" si="212"/>
        <v>1-0.151812185333518i</v>
      </c>
      <c r="X369" s="160">
        <f t="shared" si="222"/>
        <v>1.0114578288864733</v>
      </c>
      <c r="Y369" s="160">
        <f t="shared" si="223"/>
        <v>-0.15066178311363254</v>
      </c>
      <c r="Z369" s="98" t="str">
        <f t="shared" si="213"/>
        <v>0.97884855855471+0.292831240436121i</v>
      </c>
      <c r="AA369" s="160">
        <f t="shared" si="224"/>
        <v>1.0217116207423653</v>
      </c>
      <c r="AB369" s="160">
        <f t="shared" si="225"/>
        <v>0.29068494806932982</v>
      </c>
      <c r="AC369" s="171" t="str">
        <f t="shared" si="226"/>
        <v>-0.085143515991096-0.190506923825892i</v>
      </c>
      <c r="AD369" s="190">
        <f t="shared" si="227"/>
        <v>-13.610885710548736</v>
      </c>
      <c r="AE369" s="169">
        <f t="shared" si="228"/>
        <v>-114.08136473960697</v>
      </c>
      <c r="AF369" s="98" t="str">
        <f t="shared" si="214"/>
        <v>-0.0000366300366300366</v>
      </c>
      <c r="AG369" s="98" t="str">
        <f t="shared" si="215"/>
        <v>0.0140290724839456i</v>
      </c>
      <c r="AH369" s="98">
        <f t="shared" si="229"/>
        <v>1.4029072483945601E-2</v>
      </c>
      <c r="AI369" s="98">
        <f t="shared" si="230"/>
        <v>1.5707963267948966</v>
      </c>
      <c r="AJ369" s="98" t="str">
        <f t="shared" si="216"/>
        <v>1+2.0037322598368i</v>
      </c>
      <c r="AK369" s="98">
        <f t="shared" si="231"/>
        <v>2.2394068342109454</v>
      </c>
      <c r="AL369" s="98">
        <f t="shared" si="232"/>
        <v>1.1078940569035358</v>
      </c>
      <c r="AM369" s="98" t="str">
        <f t="shared" si="217"/>
        <v>1+138.257525928739i</v>
      </c>
      <c r="AN369" s="98">
        <f t="shared" si="233"/>
        <v>138.26114232110169</v>
      </c>
      <c r="AO369" s="98">
        <f t="shared" si="234"/>
        <v>1.5635635736000963</v>
      </c>
      <c r="AP369" s="168" t="str">
        <f t="shared" si="235"/>
        <v>-0.0709399696596725+0.144755714869531i</v>
      </c>
      <c r="AQ369" s="98">
        <f t="shared" si="236"/>
        <v>-15.852489293250914</v>
      </c>
      <c r="AR369" s="169">
        <f t="shared" si="237"/>
        <v>116.10794015947897</v>
      </c>
      <c r="AS369" s="168" t="str">
        <f t="shared" si="238"/>
        <v>0.0336170443871385+0.00118954487236987i</v>
      </c>
      <c r="AT369" s="190">
        <f t="shared" si="239"/>
        <v>-29.463375003799641</v>
      </c>
      <c r="AU369" s="169">
        <f t="shared" si="240"/>
        <v>2.0265754198720027</v>
      </c>
      <c r="AV369" s="225"/>
      <c r="AX369">
        <f t="shared" si="241"/>
        <v>0</v>
      </c>
      <c r="AY369">
        <f t="shared" si="242"/>
        <v>0</v>
      </c>
    </row>
    <row r="370" spans="14:51" x14ac:dyDescent="0.3">
      <c r="N370" s="170">
        <v>52</v>
      </c>
      <c r="O370" s="199">
        <f t="shared" si="208"/>
        <v>33113.11214825909</v>
      </c>
      <c r="P370" s="189" t="str">
        <f t="shared" si="209"/>
        <v>108.75</v>
      </c>
      <c r="Q370" s="160" t="str">
        <f t="shared" si="210"/>
        <v>1+528.045670461874i</v>
      </c>
      <c r="R370" s="160">
        <f t="shared" si="218"/>
        <v>528.04661734881904</v>
      </c>
      <c r="S370" s="160">
        <f t="shared" si="219"/>
        <v>1.5689025534709606</v>
      </c>
      <c r="T370" s="160" t="str">
        <f t="shared" si="211"/>
        <v>1+0.0195572470541436i</v>
      </c>
      <c r="U370" s="160">
        <f t="shared" si="220"/>
        <v>1.0001912246727307</v>
      </c>
      <c r="V370" s="160">
        <f t="shared" si="221"/>
        <v>1.9554754169053886E-2</v>
      </c>
      <c r="W370" s="98" t="str">
        <f t="shared" si="212"/>
        <v>1-0.155348345394616i</v>
      </c>
      <c r="X370" s="160">
        <f t="shared" si="222"/>
        <v>1.011994618768719</v>
      </c>
      <c r="Y370" s="160">
        <f t="shared" si="223"/>
        <v>-0.15411645491555367</v>
      </c>
      <c r="Z370" s="98" t="str">
        <f t="shared" si="213"/>
        <v>0.97785172183021+0.299652156259163i</v>
      </c>
      <c r="AA370" s="160">
        <f t="shared" si="224"/>
        <v>1.0227342786066538</v>
      </c>
      <c r="AB370" s="160">
        <f t="shared" si="225"/>
        <v>0.2973538511275311</v>
      </c>
      <c r="AC370" s="171" t="str">
        <f t="shared" si="226"/>
        <v>-0.0849723310699513-0.185267231886322i</v>
      </c>
      <c r="AD370" s="190">
        <f t="shared" si="227"/>
        <v>-13.814891369826128</v>
      </c>
      <c r="AE370" s="169">
        <f t="shared" si="228"/>
        <v>-114.63843300962974</v>
      </c>
      <c r="AF370" s="98" t="str">
        <f t="shared" si="214"/>
        <v>-0.0000366300366300366</v>
      </c>
      <c r="AG370" s="98" t="str">
        <f t="shared" si="215"/>
        <v>0.0143558515610203i</v>
      </c>
      <c r="AH370" s="98">
        <f t="shared" si="229"/>
        <v>1.4355851561020301E-2</v>
      </c>
      <c r="AI370" s="98">
        <f t="shared" si="230"/>
        <v>1.5707963267948966</v>
      </c>
      <c r="AJ370" s="98" t="str">
        <f t="shared" si="216"/>
        <v>1+2.05040517989787i</v>
      </c>
      <c r="AK370" s="98">
        <f t="shared" si="231"/>
        <v>2.2812631154147951</v>
      </c>
      <c r="AL370" s="98">
        <f t="shared" si="232"/>
        <v>1.1170301946087671</v>
      </c>
      <c r="AM370" s="98" t="str">
        <f t="shared" si="217"/>
        <v>1+141.477957412953i</v>
      </c>
      <c r="AN370" s="98">
        <f t="shared" si="233"/>
        <v>141.48149148825561</v>
      </c>
      <c r="AO370" s="98">
        <f t="shared" si="234"/>
        <v>1.5637282056158019</v>
      </c>
      <c r="AP370" s="168" t="str">
        <f t="shared" si="235"/>
        <v>-0.0683606588285161+0.142718624289444i</v>
      </c>
      <c r="AQ370" s="98">
        <f t="shared" si="236"/>
        <v>-16.013347106311382</v>
      </c>
      <c r="AR370" s="169">
        <f t="shared" si="237"/>
        <v>115.59391074759159</v>
      </c>
      <c r="AS370" s="168" t="str">
        <f t="shared" si="238"/>
        <v>0.032249848994866+0.000537855838113806i</v>
      </c>
      <c r="AT370" s="190">
        <f t="shared" si="239"/>
        <v>-29.828238476137496</v>
      </c>
      <c r="AU370" s="169">
        <f t="shared" si="240"/>
        <v>0.95547773796186808</v>
      </c>
      <c r="AV370" s="225"/>
      <c r="AX370">
        <f t="shared" si="241"/>
        <v>0</v>
      </c>
      <c r="AY370">
        <f t="shared" si="242"/>
        <v>0</v>
      </c>
    </row>
    <row r="371" spans="14:51" x14ac:dyDescent="0.3">
      <c r="N371" s="170">
        <v>53</v>
      </c>
      <c r="O371" s="199">
        <f t="shared" si="208"/>
        <v>33884.41561392029</v>
      </c>
      <c r="P371" s="189" t="str">
        <f t="shared" si="209"/>
        <v>108.75</v>
      </c>
      <c r="Q371" s="160" t="str">
        <f t="shared" si="210"/>
        <v>1+540.345434187832i</v>
      </c>
      <c r="R371" s="160">
        <f t="shared" si="218"/>
        <v>540.34635952103599</v>
      </c>
      <c r="S371" s="160">
        <f t="shared" si="219"/>
        <v>1.5689456609151191</v>
      </c>
      <c r="T371" s="160" t="str">
        <f t="shared" si="211"/>
        <v>1+0.0200127938588086i</v>
      </c>
      <c r="U371" s="160">
        <f t="shared" si="220"/>
        <v>1.0002002359118074</v>
      </c>
      <c r="V371" s="160">
        <f t="shared" si="221"/>
        <v>2.0010122713190075E-2</v>
      </c>
      <c r="W371" s="98" t="str">
        <f t="shared" si="212"/>
        <v>1-0.158966873204721i</v>
      </c>
      <c r="X371" s="160">
        <f t="shared" si="222"/>
        <v>1.0125564017754694</v>
      </c>
      <c r="Y371" s="160">
        <f t="shared" si="223"/>
        <v>-0.15764776122509483</v>
      </c>
      <c r="Z371" s="98" t="str">
        <f t="shared" si="213"/>
        <v>0.97680790563824+0.306631951621821i</v>
      </c>
      <c r="AA371" s="160">
        <f t="shared" si="224"/>
        <v>1.0238050782608825</v>
      </c>
      <c r="AB371" s="160">
        <f t="shared" si="225"/>
        <v>0.30417094078306001</v>
      </c>
      <c r="AC371" s="171" t="str">
        <f t="shared" si="226"/>
        <v>-0.0847920210586065-0.180129120035974i</v>
      </c>
      <c r="AD371" s="190">
        <f t="shared" si="227"/>
        <v>-14.019081343599023</v>
      </c>
      <c r="AE371" s="169">
        <f t="shared" si="228"/>
        <v>-115.2077316020723</v>
      </c>
      <c r="AF371" s="98" t="str">
        <f t="shared" si="214"/>
        <v>-0.0000366300366300366</v>
      </c>
      <c r="AG371" s="98" t="str">
        <f t="shared" si="215"/>
        <v>0.0146902423006148i</v>
      </c>
      <c r="AH371" s="98">
        <f t="shared" si="229"/>
        <v>1.46902423006148E-2</v>
      </c>
      <c r="AI371" s="98">
        <f t="shared" si="230"/>
        <v>1.5707963267948966</v>
      </c>
      <c r="AJ371" s="98" t="str">
        <f t="shared" si="216"/>
        <v>1+2.09816525192566i</v>
      </c>
      <c r="AK371" s="98">
        <f t="shared" si="231"/>
        <v>2.3242842821798431</v>
      </c>
      <c r="AL371" s="98">
        <f t="shared" si="232"/>
        <v>1.1260377350763886</v>
      </c>
      <c r="AM371" s="98" t="str">
        <f t="shared" si="217"/>
        <v>1+144.77340238287i</v>
      </c>
      <c r="AN371" s="98">
        <f t="shared" si="233"/>
        <v>144.77685601473871</v>
      </c>
      <c r="AO371" s="98">
        <f t="shared" si="234"/>
        <v>1.5638890905195446</v>
      </c>
      <c r="AP371" s="168" t="str">
        <f t="shared" si="235"/>
        <v>-0.0658534460667882+0.140664906637754i</v>
      </c>
      <c r="AQ371" s="98">
        <f t="shared" si="236"/>
        <v>-16.175634204918428</v>
      </c>
      <c r="AR371" s="169">
        <f t="shared" si="237"/>
        <v>115.08703472097535</v>
      </c>
      <c r="AS371" s="168" t="str">
        <f t="shared" si="238"/>
        <v>0.030921692638278-0.0000651384344883231i</v>
      </c>
      <c r="AT371" s="190">
        <f t="shared" si="239"/>
        <v>-30.19471554851744</v>
      </c>
      <c r="AU371" s="169">
        <f t="shared" si="240"/>
        <v>-0.12069688109693777</v>
      </c>
      <c r="AV371" s="225"/>
      <c r="AX371">
        <f t="shared" si="241"/>
        <v>0</v>
      </c>
      <c r="AY371">
        <f t="shared" si="242"/>
        <v>0</v>
      </c>
    </row>
    <row r="372" spans="14:51" x14ac:dyDescent="0.3">
      <c r="N372" s="170">
        <v>54</v>
      </c>
      <c r="O372" s="199">
        <f t="shared" si="208"/>
        <v>34673.685045253202</v>
      </c>
      <c r="P372" s="189" t="str">
        <f t="shared" si="209"/>
        <v>108.75</v>
      </c>
      <c r="Q372" s="160" t="str">
        <f t="shared" si="210"/>
        <v>1+552.931696215307i</v>
      </c>
      <c r="R372" s="160">
        <f t="shared" si="218"/>
        <v>552.93260048539059</v>
      </c>
      <c r="S372" s="160">
        <f t="shared" si="219"/>
        <v>1.568987787120697</v>
      </c>
      <c r="T372" s="160" t="str">
        <f t="shared" si="211"/>
        <v>1+0.0204789517116781i</v>
      </c>
      <c r="U372" s="160">
        <f t="shared" si="220"/>
        <v>1.0002096717504831</v>
      </c>
      <c r="V372" s="160">
        <f t="shared" si="221"/>
        <v>2.0476089559984728E-2</v>
      </c>
      <c r="W372" s="98" t="str">
        <f t="shared" si="212"/>
        <v>1-0.162669687355174i</v>
      </c>
      <c r="X372" s="160">
        <f t="shared" si="222"/>
        <v>1.013144326926934</v>
      </c>
      <c r="Y372" s="160">
        <f t="shared" si="223"/>
        <v>-0.16125722192057029</v>
      </c>
      <c r="Z372" s="98" t="str">
        <f t="shared" si="213"/>
        <v>0.975714895904711+0.313774327303979i</v>
      </c>
      <c r="AA372" s="160">
        <f t="shared" si="224"/>
        <v>1.0249262834786732</v>
      </c>
      <c r="AB372" s="160">
        <f t="shared" si="225"/>
        <v>0.31113917442550665</v>
      </c>
      <c r="AC372" s="171" t="str">
        <f t="shared" si="226"/>
        <v>-0.0846022906400549-0.175090087439384i</v>
      </c>
      <c r="AD372" s="190">
        <f t="shared" si="227"/>
        <v>-14.223463889660115</v>
      </c>
      <c r="AE372" s="169">
        <f t="shared" si="228"/>
        <v>-115.78950456468677</v>
      </c>
      <c r="AF372" s="98" t="str">
        <f t="shared" si="214"/>
        <v>-0.0000366300366300366</v>
      </c>
      <c r="AG372" s="98" t="str">
        <f t="shared" si="215"/>
        <v>0.0150324220011254i</v>
      </c>
      <c r="AH372" s="98">
        <f t="shared" si="229"/>
        <v>1.50324220011254E-2</v>
      </c>
      <c r="AI372" s="98">
        <f t="shared" si="230"/>
        <v>1.5707963267948966</v>
      </c>
      <c r="AJ372" s="98" t="str">
        <f t="shared" si="216"/>
        <v>1+2.14703779894251i</v>
      </c>
      <c r="AK372" s="98">
        <f t="shared" si="231"/>
        <v>2.3684955794951144</v>
      </c>
      <c r="AL372" s="98">
        <f t="shared" si="232"/>
        <v>1.1349156065666894</v>
      </c>
      <c r="AM372" s="98" t="str">
        <f t="shared" si="217"/>
        <v>1+148.145608127033i</v>
      </c>
      <c r="AN372" s="98">
        <f t="shared" si="233"/>
        <v>148.14898314645438</v>
      </c>
      <c r="AO372" s="98">
        <f t="shared" si="234"/>
        <v>1.5640463135812959</v>
      </c>
      <c r="AP372" s="168" t="str">
        <f t="shared" si="235"/>
        <v>-0.0634178975235494+0.138597358631742i</v>
      </c>
      <c r="AQ372" s="98">
        <f t="shared" si="236"/>
        <v>-16.339310193887734</v>
      </c>
      <c r="AR372" s="169">
        <f t="shared" si="237"/>
        <v>114.58737837140208</v>
      </c>
      <c r="AS372" s="168" t="str">
        <f t="shared" si="238"/>
        <v>0.0296323230397679-0.000621808794286399i</v>
      </c>
      <c r="AT372" s="190">
        <f t="shared" si="239"/>
        <v>-30.562774083547851</v>
      </c>
      <c r="AU372" s="169">
        <f t="shared" si="240"/>
        <v>-1.2021261932846996</v>
      </c>
      <c r="AV372" s="225"/>
      <c r="AX372">
        <f t="shared" si="241"/>
        <v>0</v>
      </c>
      <c r="AY372">
        <f t="shared" si="242"/>
        <v>0</v>
      </c>
    </row>
    <row r="373" spans="14:51" x14ac:dyDescent="0.3">
      <c r="N373" s="170">
        <v>55</v>
      </c>
      <c r="O373" s="199">
        <f t="shared" si="208"/>
        <v>35481.33892335758</v>
      </c>
      <c r="P373" s="189" t="str">
        <f t="shared" si="209"/>
        <v>108.75</v>
      </c>
      <c r="Q373" s="160" t="str">
        <f t="shared" si="210"/>
        <v>1+565.811129947037i</v>
      </c>
      <c r="R373" s="160">
        <f t="shared" si="218"/>
        <v>565.81201363345292</v>
      </c>
      <c r="S373" s="160">
        <f t="shared" si="219"/>
        <v>1.5690289544229681</v>
      </c>
      <c r="T373" s="160" t="str">
        <f t="shared" si="211"/>
        <v>1+0.0209559677758163i</v>
      </c>
      <c r="U373" s="160">
        <f t="shared" si="220"/>
        <v>1.0002195521911281</v>
      </c>
      <c r="V373" s="160">
        <f t="shared" si="221"/>
        <v>2.0952900961379195E-2</v>
      </c>
      <c r="W373" s="98" t="str">
        <f t="shared" si="212"/>
        <v>1-0.166458751127051i</v>
      </c>
      <c r="X373" s="160">
        <f t="shared" si="222"/>
        <v>1.0137595946903672</v>
      </c>
      <c r="Y373" s="160">
        <f t="shared" si="223"/>
        <v>-0.1649463743958241</v>
      </c>
      <c r="Z373" s="98" t="str">
        <f t="shared" si="213"/>
        <v>0.974570374209435+0.321083070287771i</v>
      </c>
      <c r="AA373" s="160">
        <f t="shared" si="224"/>
        <v>1.0261002642588783</v>
      </c>
      <c r="AB373" s="160">
        <f t="shared" si="225"/>
        <v>0.31826154500658915</v>
      </c>
      <c r="AC373" s="171" t="str">
        <f t="shared" si="226"/>
        <v>-0.0844028323522578-0.170147699841815i</v>
      </c>
      <c r="AD373" s="190">
        <f t="shared" si="227"/>
        <v>-14.428047615748126</v>
      </c>
      <c r="AE373" s="169">
        <f t="shared" si="228"/>
        <v>-116.3839986376737</v>
      </c>
      <c r="AF373" s="98" t="str">
        <f t="shared" si="214"/>
        <v>-0.0000366300366300366</v>
      </c>
      <c r="AG373" s="98" t="str">
        <f t="shared" si="215"/>
        <v>0.0153825720907587i</v>
      </c>
      <c r="AH373" s="98">
        <f t="shared" si="229"/>
        <v>1.53825720907587E-2</v>
      </c>
      <c r="AI373" s="98">
        <f t="shared" si="230"/>
        <v>1.5707963267948966</v>
      </c>
      <c r="AJ373" s="98" t="str">
        <f t="shared" si="216"/>
        <v>1+2.19704873381977i</v>
      </c>
      <c r="AK373" s="98">
        <f t="shared" si="231"/>
        <v>2.4139227698456001</v>
      </c>
      <c r="AL373" s="98">
        <f t="shared" si="232"/>
        <v>1.1436629174464463</v>
      </c>
      <c r="AM373" s="98" t="str">
        <f t="shared" si="217"/>
        <v>1+151.596362633564i</v>
      </c>
      <c r="AN373" s="98">
        <f t="shared" si="233"/>
        <v>151.59966082985488</v>
      </c>
      <c r="AO373" s="98">
        <f t="shared" si="234"/>
        <v>1.5641999581316948</v>
      </c>
      <c r="AP373" s="168" t="str">
        <f t="shared" si="235"/>
        <v>-0.0610534562161091+0.13651868732193i</v>
      </c>
      <c r="AQ373" s="98">
        <f t="shared" si="236"/>
        <v>-16.504334956028426</v>
      </c>
      <c r="AR373" s="169">
        <f t="shared" si="237"/>
        <v>114.09499756018604</v>
      </c>
      <c r="AS373" s="168" t="str">
        <f t="shared" si="238"/>
        <v>0.0283814252627845-0.00113445873641924i</v>
      </c>
      <c r="AT373" s="190">
        <f t="shared" si="239"/>
        <v>-30.932382571776557</v>
      </c>
      <c r="AU373" s="169">
        <f t="shared" si="240"/>
        <v>-2.2890010774876766</v>
      </c>
      <c r="AV373" s="225"/>
      <c r="AX373">
        <f t="shared" si="241"/>
        <v>0</v>
      </c>
      <c r="AY373">
        <f t="shared" si="242"/>
        <v>0</v>
      </c>
    </row>
    <row r="374" spans="14:51" x14ac:dyDescent="0.3">
      <c r="N374" s="170">
        <v>56</v>
      </c>
      <c r="O374" s="199">
        <f t="shared" si="208"/>
        <v>36307.805477010232</v>
      </c>
      <c r="P374" s="189" t="str">
        <f t="shared" si="209"/>
        <v>108.75</v>
      </c>
      <c r="Q374" s="160" t="str">
        <f t="shared" si="210"/>
        <v>1+578.990564229257i</v>
      </c>
      <c r="R374" s="160">
        <f t="shared" si="218"/>
        <v>578.99142780054467</v>
      </c>
      <c r="S374" s="160">
        <f t="shared" si="219"/>
        <v>1.5690691846488221</v>
      </c>
      <c r="T374" s="160" t="str">
        <f t="shared" si="211"/>
        <v>1+0.021444094971454i</v>
      </c>
      <c r="U374" s="160">
        <f t="shared" si="220"/>
        <v>1.0002298981779862</v>
      </c>
      <c r="V374" s="160">
        <f t="shared" si="221"/>
        <v>2.1440808861370952E-2</v>
      </c>
      <c r="W374" s="98" t="str">
        <f t="shared" si="212"/>
        <v>1-0.170336073532117i</v>
      </c>
      <c r="X374" s="160">
        <f t="shared" si="222"/>
        <v>1.0144034591553495</v>
      </c>
      <c r="Y374" s="160">
        <f t="shared" si="223"/>
        <v>-0.16871677281454975</v>
      </c>
      <c r="Z374" s="98" t="str">
        <f t="shared" si="213"/>
        <v>0.973371912868448+0.328562055765464i</v>
      </c>
      <c r="AA374" s="160">
        <f t="shared" si="224"/>
        <v>1.0273295017909343</v>
      </c>
      <c r="AB374" s="160">
        <f t="shared" si="225"/>
        <v>0.32554107972107366</v>
      </c>
      <c r="AC374" s="171" t="str">
        <f t="shared" si="226"/>
        <v>-0.0841933266122205-0.165299589070549i</v>
      </c>
      <c r="AD374" s="190">
        <f t="shared" si="227"/>
        <v>-14.632841492475809</v>
      </c>
      <c r="AE374" s="169">
        <f t="shared" si="228"/>
        <v>-116.99146312879812</v>
      </c>
      <c r="AF374" s="98" t="str">
        <f t="shared" si="214"/>
        <v>-0.0000366300366300366</v>
      </c>
      <c r="AG374" s="98" t="str">
        <f t="shared" si="215"/>
        <v>0.0157408782237269i</v>
      </c>
      <c r="AH374" s="98">
        <f t="shared" si="229"/>
        <v>1.5740878223726901E-2</v>
      </c>
      <c r="AI374" s="98">
        <f t="shared" si="230"/>
        <v>1.5707963267948966</v>
      </c>
      <c r="AJ374" s="98" t="str">
        <f t="shared" si="216"/>
        <v>1+2.24822457301707i</v>
      </c>
      <c r="AK374" s="98">
        <f t="shared" si="231"/>
        <v>2.4605921504218831</v>
      </c>
      <c r="AL374" s="98">
        <f t="shared" si="232"/>
        <v>1.1522789501937813</v>
      </c>
      <c r="AM374" s="98" t="str">
        <f t="shared" si="217"/>
        <v>1+155.127495538178i</v>
      </c>
      <c r="AN374" s="98">
        <f t="shared" si="233"/>
        <v>155.13071865993351</v>
      </c>
      <c r="AO374" s="98">
        <f t="shared" si="234"/>
        <v>1.5643501056060833</v>
      </c>
      <c r="AP374" s="168" t="str">
        <f t="shared" si="235"/>
        <v>-0.0587594508653505+0.134431505687419i</v>
      </c>
      <c r="AQ374" s="98">
        <f t="shared" si="236"/>
        <v>-16.670668718924006</v>
      </c>
      <c r="AR374" s="169">
        <f t="shared" si="237"/>
        <v>113.60993806420444</v>
      </c>
      <c r="AS374" s="168" t="str">
        <f t="shared" si="238"/>
        <v>0.0271686262865267-0.00160532258325989i</v>
      </c>
      <c r="AT374" s="190">
        <f t="shared" si="239"/>
        <v>-31.303510211399814</v>
      </c>
      <c r="AU374" s="169">
        <f t="shared" si="240"/>
        <v>-3.3815250645936699</v>
      </c>
      <c r="AV374" s="225"/>
      <c r="AX374">
        <f t="shared" si="241"/>
        <v>0</v>
      </c>
      <c r="AY374">
        <f t="shared" si="242"/>
        <v>0</v>
      </c>
    </row>
    <row r="375" spans="14:51" x14ac:dyDescent="0.3">
      <c r="N375" s="170">
        <v>57</v>
      </c>
      <c r="O375" s="199">
        <f t="shared" si="208"/>
        <v>37153.522909717351</v>
      </c>
      <c r="P375" s="189" t="str">
        <f t="shared" si="209"/>
        <v>108.75</v>
      </c>
      <c r="Q375" s="160" t="str">
        <f t="shared" si="210"/>
        <v>1+592.476986972479i</v>
      </c>
      <c r="R375" s="160">
        <f t="shared" si="218"/>
        <v>592.47783088651261</v>
      </c>
      <c r="S375" s="160">
        <f t="shared" si="219"/>
        <v>1.5691084991283364</v>
      </c>
      <c r="T375" s="160" t="str">
        <f t="shared" si="211"/>
        <v>1+0.0219435921100919i</v>
      </c>
      <c r="U375" s="160">
        <f t="shared" si="220"/>
        <v>1.0002407316414854</v>
      </c>
      <c r="V375" s="160">
        <f t="shared" si="221"/>
        <v>2.1940071025466648E-2</v>
      </c>
      <c r="W375" s="98" t="str">
        <f t="shared" si="212"/>
        <v>1-0.174303710378035i</v>
      </c>
      <c r="X375" s="160">
        <f t="shared" si="222"/>
        <v>1.0150772302891784</v>
      </c>
      <c r="Y375" s="160">
        <f t="shared" si="223"/>
        <v>-0.17256998727907455</v>
      </c>
      <c r="Z375" s="98" t="str">
        <f t="shared" si="213"/>
        <v>0.972116969784565+0.336215249194158i</v>
      </c>
      <c r="AA375" s="160">
        <f t="shared" si="224"/>
        <v>1.0286165936508194</v>
      </c>
      <c r="AB375" s="160">
        <f t="shared" si="225"/>
        <v>0.33298083853027299</v>
      </c>
      <c r="AC375" s="171" t="str">
        <f t="shared" si="226"/>
        <v>-0.0839734417686771-0.160543452604417i</v>
      </c>
      <c r="AD375" s="190">
        <f t="shared" si="227"/>
        <v>-14.837854866559457</v>
      </c>
      <c r="AE375" s="169">
        <f t="shared" si="228"/>
        <v>-117.61214977441324</v>
      </c>
      <c r="AF375" s="98" t="str">
        <f t="shared" si="214"/>
        <v>-0.0000366300366300366</v>
      </c>
      <c r="AG375" s="98" t="str">
        <f t="shared" si="215"/>
        <v>0.0161075303786844i</v>
      </c>
      <c r="AH375" s="98">
        <f t="shared" si="229"/>
        <v>1.6107530378684402E-2</v>
      </c>
      <c r="AI375" s="98">
        <f t="shared" si="230"/>
        <v>1.5707963267948966</v>
      </c>
      <c r="AJ375" s="98" t="str">
        <f t="shared" si="216"/>
        <v>1+2.30059245064176i</v>
      </c>
      <c r="AK375" s="98">
        <f t="shared" si="231"/>
        <v>2.5085305706628054</v>
      </c>
      <c r="AL375" s="98">
        <f t="shared" si="232"/>
        <v>1.1607631551440325</v>
      </c>
      <c r="AM375" s="98" t="str">
        <f t="shared" si="217"/>
        <v>1+158.740879094281i</v>
      </c>
      <c r="AN375" s="98">
        <f t="shared" si="233"/>
        <v>158.74402885030082</v>
      </c>
      <c r="AO375" s="98">
        <f t="shared" si="234"/>
        <v>1.5644968355875439</v>
      </c>
      <c r="AP375" s="168" t="str">
        <f t="shared" si="235"/>
        <v>-0.0565351047119699+0.132338328999816i</v>
      </c>
      <c r="AQ375" s="98">
        <f t="shared" si="236"/>
        <v>-16.838272116746261</v>
      </c>
      <c r="AR375" s="169">
        <f t="shared" si="237"/>
        <v>113.1322359366966</v>
      </c>
      <c r="AS375" s="168" t="str">
        <f t="shared" si="238"/>
        <v>0.0259934995729464-0.00203656406021819i</v>
      </c>
      <c r="AT375" s="190">
        <f t="shared" si="239"/>
        <v>-31.676126983305707</v>
      </c>
      <c r="AU375" s="169">
        <f t="shared" si="240"/>
        <v>-4.4799138377166559</v>
      </c>
      <c r="AV375" s="225"/>
      <c r="AX375">
        <f t="shared" si="241"/>
        <v>0</v>
      </c>
      <c r="AY375">
        <f t="shared" si="242"/>
        <v>0</v>
      </c>
    </row>
    <row r="376" spans="14:51" x14ac:dyDescent="0.3">
      <c r="N376" s="170">
        <v>58</v>
      </c>
      <c r="O376" s="199">
        <f t="shared" si="208"/>
        <v>38018.939632056143</v>
      </c>
      <c r="P376" s="189" t="str">
        <f t="shared" si="209"/>
        <v>108.75</v>
      </c>
      <c r="Q376" s="160" t="str">
        <f t="shared" si="210"/>
        <v>1+606.277548856553i</v>
      </c>
      <c r="R376" s="160">
        <f t="shared" si="218"/>
        <v>606.27837356078442</v>
      </c>
      <c r="S376" s="160">
        <f t="shared" si="219"/>
        <v>1.5691469187060818</v>
      </c>
      <c r="T376" s="160" t="str">
        <f t="shared" si="211"/>
        <v>1+0.0224547240317243i</v>
      </c>
      <c r="U376" s="160">
        <f t="shared" si="220"/>
        <v>1.0002520755446305</v>
      </c>
      <c r="V376" s="160">
        <f t="shared" si="221"/>
        <v>2.2450951172923738E-2</v>
      </c>
      <c r="W376" s="98" t="str">
        <f t="shared" si="212"/>
        <v>1-0.178363765358377i</v>
      </c>
      <c r="X376" s="160">
        <f t="shared" si="222"/>
        <v>1.0157822762742112</v>
      </c>
      <c r="Y376" s="160">
        <f t="shared" si="223"/>
        <v>-0.17650760290830941</v>
      </c>
      <c r="Z376" s="98" t="str">
        <f t="shared" si="213"/>
        <v>0.970802883055252+0.344046708398309i</v>
      </c>
      <c r="AA376" s="160">
        <f t="shared" si="224"/>
        <v>1.0299642592382032</v>
      </c>
      <c r="AB376" s="160">
        <f t="shared" si="225"/>
        <v>0.34058391251826681</v>
      </c>
      <c r="AC376" s="171" t="str">
        <f t="shared" si="226"/>
        <v>-0.0837428341872952-0.155877053211411i</v>
      </c>
      <c r="AD376" s="190">
        <f t="shared" si="227"/>
        <v>-15.043097474336378</v>
      </c>
      <c r="AE376" s="169">
        <f t="shared" si="228"/>
        <v>-118.24631258552002</v>
      </c>
      <c r="AF376" s="98" t="str">
        <f t="shared" si="214"/>
        <v>-0.0000366300366300366</v>
      </c>
      <c r="AG376" s="98" t="str">
        <f t="shared" si="215"/>
        <v>0.0164827229594571i</v>
      </c>
      <c r="AH376" s="98">
        <f t="shared" si="229"/>
        <v>1.6482722959457099E-2</v>
      </c>
      <c r="AI376" s="98">
        <f t="shared" si="230"/>
        <v>1.5707963267948966</v>
      </c>
      <c r="AJ376" s="98" t="str">
        <f t="shared" si="216"/>
        <v>1+2.35418013283572i</v>
      </c>
      <c r="AK376" s="98">
        <f t="shared" si="231"/>
        <v>2.5577654501221194</v>
      </c>
      <c r="AL376" s="98">
        <f t="shared" si="232"/>
        <v>1.169115144025211</v>
      </c>
      <c r="AM376" s="98" t="str">
        <f t="shared" si="217"/>
        <v>1+162.438429165664i</v>
      </c>
      <c r="AN376" s="98">
        <f t="shared" si="233"/>
        <v>162.44150722585786</v>
      </c>
      <c r="AO376" s="98">
        <f t="shared" si="234"/>
        <v>1.5646402258489687</v>
      </c>
      <c r="AP376" s="168" t="str">
        <f t="shared" si="235"/>
        <v>-0.0543795442537505+0.130241571921012i</v>
      </c>
      <c r="AQ376" s="98">
        <f t="shared" si="236"/>
        <v>-17.007106247131734</v>
      </c>
      <c r="AR376" s="169">
        <f t="shared" si="237"/>
        <v>112.66191788006783</v>
      </c>
      <c r="AS376" s="168" t="str">
        <f t="shared" si="238"/>
        <v>0.0248555695942919-0.00243027524841984i</v>
      </c>
      <c r="AT376" s="190">
        <f t="shared" si="239"/>
        <v>-32.050203721468115</v>
      </c>
      <c r="AU376" s="169">
        <f t="shared" si="240"/>
        <v>-5.5843947054521657</v>
      </c>
      <c r="AV376" s="225"/>
      <c r="AX376">
        <f t="shared" si="241"/>
        <v>0</v>
      </c>
      <c r="AY376">
        <f t="shared" si="242"/>
        <v>0</v>
      </c>
    </row>
    <row r="377" spans="14:51" x14ac:dyDescent="0.3">
      <c r="N377" s="170">
        <v>59</v>
      </c>
      <c r="O377" s="199">
        <f t="shared" si="208"/>
        <v>38904.514499428085</v>
      </c>
      <c r="P377" s="189" t="str">
        <f t="shared" si="209"/>
        <v>108.75</v>
      </c>
      <c r="Q377" s="160" t="str">
        <f t="shared" si="210"/>
        <v>1+620.399567122063i</v>
      </c>
      <c r="R377" s="160">
        <f t="shared" si="218"/>
        <v>620.40037305375881</v>
      </c>
      <c r="S377" s="160">
        <f t="shared" si="219"/>
        <v>1.5691844637521732</v>
      </c>
      <c r="T377" s="160" t="str">
        <f t="shared" si="211"/>
        <v>1+0.0229777617452617i</v>
      </c>
      <c r="U377" s="160">
        <f t="shared" si="220"/>
        <v>1.0002639539315719</v>
      </c>
      <c r="V377" s="160">
        <f t="shared" si="221"/>
        <v>2.2973719111835558E-2</v>
      </c>
      <c r="W377" s="98" t="str">
        <f t="shared" si="212"/>
        <v>1-0.182518391168036i</v>
      </c>
      <c r="X377" s="160">
        <f t="shared" si="222"/>
        <v>1.0165200259289378</v>
      </c>
      <c r="Y377" s="160">
        <f t="shared" si="223"/>
        <v>-0.18053121881940978</v>
      </c>
      <c r="Z377" s="98" t="str">
        <f t="shared" si="213"/>
        <v>0.969426865326374+0.35206058572125i</v>
      </c>
      <c r="AA377" s="160">
        <f t="shared" si="224"/>
        <v>1.0313753454659023</v>
      </c>
      <c r="AB377" s="160">
        <f t="shared" si="225"/>
        <v>0.34835342207076603</v>
      </c>
      <c r="AC377" s="171" t="str">
        <f t="shared" si="226"/>
        <v>-0.0835011483725528-0.151298218653929i</v>
      </c>
      <c r="AD377" s="190">
        <f t="shared" si="227"/>
        <v>-15.248579455559168</v>
      </c>
      <c r="AE377" s="169">
        <f t="shared" si="228"/>
        <v>-118.89420767797085</v>
      </c>
      <c r="AF377" s="98" t="str">
        <f t="shared" si="214"/>
        <v>-0.0000366300366300366</v>
      </c>
      <c r="AG377" s="98" t="str">
        <f t="shared" si="215"/>
        <v>0.0168666548981176i</v>
      </c>
      <c r="AH377" s="98">
        <f t="shared" si="229"/>
        <v>1.6866654898117599E-2</v>
      </c>
      <c r="AI377" s="98">
        <f t="shared" si="230"/>
        <v>1.5707963267948966</v>
      </c>
      <c r="AJ377" s="98" t="str">
        <f t="shared" si="216"/>
        <v>1+2.40901603249737i</v>
      </c>
      <c r="AK377" s="98">
        <f t="shared" si="231"/>
        <v>2.6083247966519374</v>
      </c>
      <c r="AL377" s="98">
        <f t="shared" si="232"/>
        <v>1.1773346833293312</v>
      </c>
      <c r="AM377" s="98" t="str">
        <f t="shared" si="217"/>
        <v>1+166.222106242318i</v>
      </c>
      <c r="AN377" s="98">
        <f t="shared" si="233"/>
        <v>166.22511423859049</v>
      </c>
      <c r="AO377" s="98">
        <f t="shared" si="234"/>
        <v>1.5647803523941726</v>
      </c>
      <c r="AP377" s="168" t="str">
        <f t="shared" si="235"/>
        <v>-0.0522918078500545+0.128143546296541i</v>
      </c>
      <c r="AQ377" s="98">
        <f t="shared" si="236"/>
        <v>-17.177132723178275</v>
      </c>
      <c r="AR377" s="169">
        <f t="shared" si="237"/>
        <v>112.19900162803783</v>
      </c>
      <c r="AS377" s="168" t="str">
        <f t="shared" si="238"/>
        <v>0.0237543162926204-0.00278847589438577i</v>
      </c>
      <c r="AT377" s="190">
        <f t="shared" si="239"/>
        <v>-32.425712178737427</v>
      </c>
      <c r="AU377" s="169">
        <f t="shared" si="240"/>
        <v>-6.6952060499329926</v>
      </c>
      <c r="AV377" s="225"/>
      <c r="AX377">
        <f t="shared" si="241"/>
        <v>0</v>
      </c>
      <c r="AY377">
        <f t="shared" si="242"/>
        <v>0</v>
      </c>
    </row>
    <row r="378" spans="14:51" x14ac:dyDescent="0.3">
      <c r="N378" s="170">
        <v>60</v>
      </c>
      <c r="O378" s="199">
        <f t="shared" si="208"/>
        <v>39810.717055349742</v>
      </c>
      <c r="P378" s="189" t="str">
        <f t="shared" si="209"/>
        <v>108.75</v>
      </c>
      <c r="Q378" s="160" t="str">
        <f t="shared" si="210"/>
        <v>1+634.850529450019i</v>
      </c>
      <c r="R378" s="160">
        <f t="shared" si="218"/>
        <v>634.85131703649279</v>
      </c>
      <c r="S378" s="160">
        <f t="shared" si="219"/>
        <v>1.5692211541730672</v>
      </c>
      <c r="T378" s="160" t="str">
        <f t="shared" si="211"/>
        <v>1+0.023512982572223i</v>
      </c>
      <c r="U378" s="160">
        <f t="shared" si="220"/>
        <v>1.0002763919784579</v>
      </c>
      <c r="V378" s="160">
        <f t="shared" si="221"/>
        <v>2.350865087710529E-2</v>
      </c>
      <c r="W378" s="98" t="str">
        <f t="shared" si="212"/>
        <v>1-0.186769790644609i</v>
      </c>
      <c r="X378" s="160">
        <f t="shared" si="222"/>
        <v>1.0172919712144743</v>
      </c>
      <c r="Y378" s="160">
        <f t="shared" si="223"/>
        <v>-0.18464244700746829</v>
      </c>
      <c r="Z378" s="98" t="str">
        <f t="shared" si="213"/>
        <v>0.967985997879841+0.360261130226812i</v>
      </c>
      <c r="AA378" s="160">
        <f t="shared" si="224"/>
        <v>1.032852832713224</v>
      </c>
      <c r="AB378" s="160">
        <f t="shared" si="225"/>
        <v>0.35629251486610702</v>
      </c>
      <c r="AC378" s="171" t="str">
        <f t="shared" si="226"/>
        <v>-0.0832480171307196-0.146804841461114i</v>
      </c>
      <c r="AD378" s="190">
        <f t="shared" si="227"/>
        <v>-15.454311367447588</v>
      </c>
      <c r="AE378" s="169">
        <f t="shared" si="228"/>
        <v>-119.55609308588591</v>
      </c>
      <c r="AF378" s="98" t="str">
        <f t="shared" si="214"/>
        <v>-0.0000366300366300366</v>
      </c>
      <c r="AG378" s="98" t="str">
        <f t="shared" si="215"/>
        <v>0.0172595297604616i</v>
      </c>
      <c r="AH378" s="98">
        <f t="shared" si="229"/>
        <v>1.7259529760461599E-2</v>
      </c>
      <c r="AI378" s="98">
        <f t="shared" si="230"/>
        <v>1.5707963267948966</v>
      </c>
      <c r="AJ378" s="98" t="str">
        <f t="shared" si="216"/>
        <v>1+2.46512922434654i</v>
      </c>
      <c r="AK378" s="98">
        <f t="shared" si="231"/>
        <v>2.6602372248969406</v>
      </c>
      <c r="AL378" s="98">
        <f t="shared" si="232"/>
        <v>1.1854216875632722</v>
      </c>
      <c r="AM378" s="98" t="str">
        <f t="shared" si="217"/>
        <v>1+170.09391647991i</v>
      </c>
      <c r="AN378" s="98">
        <f t="shared" si="233"/>
        <v>170.09685600702502</v>
      </c>
      <c r="AO378" s="98">
        <f t="shared" si="234"/>
        <v>1.5649172894980803</v>
      </c>
      <c r="AP378" s="168" t="str">
        <f t="shared" si="235"/>
        <v>-0.0502708541458366+0.126046459603357i</v>
      </c>
      <c r="AQ378" s="98">
        <f t="shared" si="236"/>
        <v>-17.348313720652257</v>
      </c>
      <c r="AR378" s="169">
        <f t="shared" si="237"/>
        <v>111.74349633464122</v>
      </c>
      <c r="AS378" s="168" t="str">
        <f t="shared" si="238"/>
        <v>0.022689179445914-0.00311311305533249i</v>
      </c>
      <c r="AT378" s="190">
        <f t="shared" si="239"/>
        <v>-32.802625088099859</v>
      </c>
      <c r="AU378" s="169">
        <f t="shared" si="240"/>
        <v>-7.8125967512447057</v>
      </c>
      <c r="AV378" s="225"/>
      <c r="AX378">
        <f t="shared" si="241"/>
        <v>0</v>
      </c>
      <c r="AY378">
        <f t="shared" si="242"/>
        <v>0</v>
      </c>
    </row>
    <row r="379" spans="14:51" x14ac:dyDescent="0.3">
      <c r="N379" s="170">
        <v>61</v>
      </c>
      <c r="O379" s="199">
        <f t="shared" si="208"/>
        <v>40738.027780411358</v>
      </c>
      <c r="P379" s="189" t="str">
        <f t="shared" si="209"/>
        <v>108.75</v>
      </c>
      <c r="Q379" s="160" t="str">
        <f t="shared" si="210"/>
        <v>1+649.638097931932i</v>
      </c>
      <c r="R379" s="160">
        <f t="shared" si="218"/>
        <v>649.63886759077025</v>
      </c>
      <c r="S379" s="160">
        <f t="shared" si="219"/>
        <v>1.5692570094221154</v>
      </c>
      <c r="T379" s="160" t="str">
        <f t="shared" si="211"/>
        <v>1+0.0240606702937753i</v>
      </c>
      <c r="U379" s="160">
        <f t="shared" si="220"/>
        <v>1.0002894160466689</v>
      </c>
      <c r="V379" s="160">
        <f t="shared" si="221"/>
        <v>2.4056028871359596E-2</v>
      </c>
      <c r="W379" s="98" t="str">
        <f t="shared" si="212"/>
        <v>1-0.191120217936372i</v>
      </c>
      <c r="X379" s="160">
        <f t="shared" si="222"/>
        <v>1.0180996698280804</v>
      </c>
      <c r="Y379" s="160">
        <f t="shared" si="223"/>
        <v>-0.18884291111741996</v>
      </c>
      <c r="Z379" s="98" t="str">
        <f t="shared" si="213"/>
        <v>0.96647722444262+0.368652689952241i</v>
      </c>
      <c r="AA379" s="160">
        <f t="shared" si="224"/>
        <v>1.0343998410553501</v>
      </c>
      <c r="AB379" s="160">
        <f t="shared" si="225"/>
        <v>0.36440436366759443</v>
      </c>
      <c r="AC379" s="171" t="str">
        <f t="shared" si="226"/>
        <v>-0.082983061778599-0.142394878767361i</v>
      </c>
      <c r="AD379" s="190">
        <f t="shared" si="227"/>
        <v>-15.660304198982795</v>
      </c>
      <c r="AE379" s="169">
        <f t="shared" si="228"/>
        <v>-120.23222855733046</v>
      </c>
      <c r="AF379" s="98" t="str">
        <f t="shared" si="214"/>
        <v>-0.0000366300366300366</v>
      </c>
      <c r="AG379" s="98" t="str">
        <f t="shared" si="215"/>
        <v>0.0176615558539415i</v>
      </c>
      <c r="AH379" s="98">
        <f t="shared" si="229"/>
        <v>1.76615558539415E-2</v>
      </c>
      <c r="AI379" s="98">
        <f t="shared" si="230"/>
        <v>1.5707963267948966</v>
      </c>
      <c r="AJ379" s="98" t="str">
        <f t="shared" si="216"/>
        <v>1+2.5225494603403i</v>
      </c>
      <c r="AK379" s="98">
        <f t="shared" si="231"/>
        <v>2.7135319750950302</v>
      </c>
      <c r="AL379" s="98">
        <f t="shared" si="232"/>
        <v>1.1933762124201293</v>
      </c>
      <c r="AM379" s="98" t="str">
        <f t="shared" si="217"/>
        <v>1+174.05591276348i</v>
      </c>
      <c r="AN379" s="98">
        <f t="shared" si="233"/>
        <v>174.05878537990591</v>
      </c>
      <c r="AO379" s="98">
        <f t="shared" si="234"/>
        <v>1.5650511097460031</v>
      </c>
      <c r="AP379" s="168" t="str">
        <f t="shared" si="235"/>
        <v>-0.0483155702734952+0.123952414008886i</v>
      </c>
      <c r="AQ379" s="98">
        <f t="shared" si="236"/>
        <v>-17.520612020518481</v>
      </c>
      <c r="AR379" s="169">
        <f t="shared" si="237"/>
        <v>111.29540296773071</v>
      </c>
      <c r="AS379" s="168" t="str">
        <f t="shared" si="238"/>
        <v>0.0216595629185908-0.00340606105763561i</v>
      </c>
      <c r="AT379" s="190">
        <f t="shared" si="239"/>
        <v>-33.180916219501256</v>
      </c>
      <c r="AU379" s="169">
        <f t="shared" si="240"/>
        <v>-8.9368255895997528</v>
      </c>
      <c r="AV379" s="225"/>
      <c r="AX379">
        <f t="shared" si="241"/>
        <v>0</v>
      </c>
      <c r="AY379">
        <f t="shared" si="242"/>
        <v>0</v>
      </c>
    </row>
    <row r="380" spans="14:51" x14ac:dyDescent="0.3">
      <c r="N380" s="170">
        <v>62</v>
      </c>
      <c r="O380" s="199">
        <f t="shared" si="208"/>
        <v>41686.938347033625</v>
      </c>
      <c r="P380" s="189" t="str">
        <f t="shared" si="209"/>
        <v>108.75</v>
      </c>
      <c r="Q380" s="160" t="str">
        <f t="shared" si="210"/>
        <v>1+664.770113132346i</v>
      </c>
      <c r="R380" s="160">
        <f t="shared" si="218"/>
        <v>664.77086527163033</v>
      </c>
      <c r="S380" s="160">
        <f t="shared" si="219"/>
        <v>1.5692920485098762</v>
      </c>
      <c r="T380" s="160" t="str">
        <f t="shared" si="211"/>
        <v>1+0.0246211153011981i</v>
      </c>
      <c r="U380" s="160">
        <f t="shared" si="220"/>
        <v>1.0003030537385531</v>
      </c>
      <c r="V380" s="160">
        <f t="shared" si="221"/>
        <v>2.4616142008849814E-2</v>
      </c>
      <c r="W380" s="98" t="str">
        <f t="shared" si="212"/>
        <v>1-0.19557197969746i</v>
      </c>
      <c r="X380" s="160">
        <f t="shared" si="222"/>
        <v>1.0189447478851754</v>
      </c>
      <c r="Y380" s="160">
        <f t="shared" si="223"/>
        <v>-0.19313424510215524</v>
      </c>
      <c r="Z380" s="98" t="str">
        <f t="shared" si="213"/>
        <v>0.964897344703964+0.377239714213579i</v>
      </c>
      <c r="AA380" s="160">
        <f t="shared" si="224"/>
        <v>1.036019636781419</v>
      </c>
      <c r="AB380" s="160">
        <f t="shared" si="225"/>
        <v>0.37269216390605964</v>
      </c>
      <c r="AC380" s="171" t="str">
        <f t="shared" si="226"/>
        <v>-0.0827058924029844-0.138066352215905i</v>
      </c>
      <c r="AD380" s="190">
        <f t="shared" si="227"/>
        <v>-15.86656938541983</v>
      </c>
      <c r="AE380" s="169">
        <f t="shared" si="228"/>
        <v>-120.92287533126732</v>
      </c>
      <c r="AF380" s="98" t="str">
        <f t="shared" si="214"/>
        <v>-0.0000366300366300366</v>
      </c>
      <c r="AG380" s="98" t="str">
        <f t="shared" si="215"/>
        <v>0.0180729463381134i</v>
      </c>
      <c r="AH380" s="98">
        <f t="shared" si="229"/>
        <v>1.8072946338113401E-2</v>
      </c>
      <c r="AI380" s="98">
        <f t="shared" si="230"/>
        <v>1.5707963267948966</v>
      </c>
      <c r="AJ380" s="98" t="str">
        <f t="shared" si="216"/>
        <v>1+2.58130718544784i</v>
      </c>
      <c r="AK380" s="98">
        <f t="shared" si="231"/>
        <v>2.7682389321813696</v>
      </c>
      <c r="AL380" s="98">
        <f t="shared" si="232"/>
        <v>1.2011984479091566</v>
      </c>
      <c r="AM380" s="98" t="str">
        <f t="shared" si="217"/>
        <v>1+178.1101957959i</v>
      </c>
      <c r="AN380" s="98">
        <f t="shared" si="233"/>
        <v>178.11300302463556</v>
      </c>
      <c r="AO380" s="98">
        <f t="shared" si="234"/>
        <v>1.5651818840720249</v>
      </c>
      <c r="AP380" s="168" t="str">
        <f t="shared" si="235"/>
        <v>-0.0464247797967468+0.121863405996822i</v>
      </c>
      <c r="AQ380" s="98">
        <f t="shared" si="236"/>
        <v>-17.693991046929302</v>
      </c>
      <c r="AR380" s="169">
        <f t="shared" si="237"/>
        <v>110.85471470480176</v>
      </c>
      <c r="AS380" s="168" t="str">
        <f t="shared" si="238"/>
        <v>0.020664838777289-0.00366912174527089i</v>
      </c>
      <c r="AT380" s="190">
        <f t="shared" si="239"/>
        <v>-33.560560432349142</v>
      </c>
      <c r="AU380" s="169">
        <f t="shared" si="240"/>
        <v>-10.068160626465581</v>
      </c>
      <c r="AV380" s="225"/>
      <c r="AX380">
        <f t="shared" si="241"/>
        <v>0</v>
      </c>
      <c r="AY380">
        <f t="shared" si="242"/>
        <v>0</v>
      </c>
    </row>
    <row r="381" spans="14:51" x14ac:dyDescent="0.3">
      <c r="N381" s="170">
        <v>63</v>
      </c>
      <c r="O381" s="199">
        <f t="shared" si="208"/>
        <v>42657.951880159271</v>
      </c>
      <c r="P381" s="189" t="str">
        <f t="shared" si="209"/>
        <v>108.75</v>
      </c>
      <c r="Q381" s="160" t="str">
        <f t="shared" si="210"/>
        <v>1+680.254598246013i</v>
      </c>
      <c r="R381" s="160">
        <f t="shared" si="218"/>
        <v>680.25533326453569</v>
      </c>
      <c r="S381" s="160">
        <f t="shared" si="219"/>
        <v>1.5693262900141938</v>
      </c>
      <c r="T381" s="160" t="str">
        <f t="shared" si="211"/>
        <v>1+0.0251946147498524i</v>
      </c>
      <c r="U381" s="160">
        <f t="shared" si="220"/>
        <v>1.0003173339557769</v>
      </c>
      <c r="V381" s="160">
        <f t="shared" si="221"/>
        <v>2.5189285862389995E-2</v>
      </c>
      <c r="W381" s="98" t="str">
        <f t="shared" si="212"/>
        <v>1-0.200127436310885i</v>
      </c>
      <c r="X381" s="160">
        <f t="shared" si="222"/>
        <v>1.0198289026912148</v>
      </c>
      <c r="Y381" s="160">
        <f t="shared" si="223"/>
        <v>-0.19751809176069257</v>
      </c>
      <c r="Z381" s="98" t="str">
        <f t="shared" si="213"/>
        <v>0.963243007527131+0.386026755964749i</v>
      </c>
      <c r="AA381" s="160">
        <f t="shared" si="224"/>
        <v>1.037715639214607</v>
      </c>
      <c r="AB381" s="160">
        <f t="shared" si="225"/>
        <v>0.38115913104124999</v>
      </c>
      <c r="AC381" s="171" t="str">
        <f t="shared" si="226"/>
        <v>-0.0824161081760268-0.133817347926033i</v>
      </c>
      <c r="AD381" s="190">
        <f t="shared" si="227"/>
        <v>-16.073118822993173</v>
      </c>
      <c r="AE381" s="169">
        <f t="shared" si="228"/>
        <v>-121.62829589477617</v>
      </c>
      <c r="AF381" s="98" t="str">
        <f t="shared" si="214"/>
        <v>-0.0000366300366300366</v>
      </c>
      <c r="AG381" s="98" t="str">
        <f t="shared" si="215"/>
        <v>0.0184939193376575i</v>
      </c>
      <c r="AH381" s="98">
        <f t="shared" si="229"/>
        <v>1.84939193376575E-2</v>
      </c>
      <c r="AI381" s="98">
        <f t="shared" si="230"/>
        <v>1.5707963267948966</v>
      </c>
      <c r="AJ381" s="98" t="str">
        <f t="shared" si="216"/>
        <v>1+2.64143355379273i</v>
      </c>
      <c r="AK381" s="98">
        <f t="shared" si="231"/>
        <v>2.8243886451942286</v>
      </c>
      <c r="AL381" s="98">
        <f t="shared" si="232"/>
        <v>1.2088887114794911</v>
      </c>
      <c r="AM381" s="98" t="str">
        <f t="shared" si="217"/>
        <v>1+182.258915211698i</v>
      </c>
      <c r="AN381" s="98">
        <f t="shared" si="233"/>
        <v>182.2616585410791</v>
      </c>
      <c r="AO381" s="98">
        <f t="shared" si="234"/>
        <v>1.5653096817965222</v>
      </c>
      <c r="AP381" s="168" t="str">
        <f t="shared" si="235"/>
        <v>-0.0445972503663707+0.11978132651447i</v>
      </c>
      <c r="AQ381" s="98">
        <f t="shared" si="236"/>
        <v>-17.868414900825439</v>
      </c>
      <c r="AR381" s="169">
        <f t="shared" si="237"/>
        <v>110.42141732912333</v>
      </c>
      <c r="AS381" s="168" t="str">
        <f t="shared" si="238"/>
        <v>0.0197043512557768-0.00390402499466352i</v>
      </c>
      <c r="AT381" s="190">
        <f t="shared" si="239"/>
        <v>-33.941533723818594</v>
      </c>
      <c r="AU381" s="169">
        <f t="shared" si="240"/>
        <v>-11.206878565652833</v>
      </c>
      <c r="AV381" s="225"/>
      <c r="AX381">
        <f t="shared" si="241"/>
        <v>0</v>
      </c>
      <c r="AY381">
        <f t="shared" si="242"/>
        <v>0</v>
      </c>
    </row>
    <row r="382" spans="14:51" x14ac:dyDescent="0.3">
      <c r="N382" s="170">
        <v>64</v>
      </c>
      <c r="O382" s="199">
        <f t="shared" si="208"/>
        <v>43651.583224016598</v>
      </c>
      <c r="P382" s="189" t="str">
        <f t="shared" si="209"/>
        <v>108.75</v>
      </c>
      <c r="Q382" s="160" t="str">
        <f t="shared" si="210"/>
        <v>1+696.099763351904i</v>
      </c>
      <c r="R382" s="160">
        <f t="shared" si="218"/>
        <v>696.10048163937995</v>
      </c>
      <c r="S382" s="160">
        <f t="shared" si="219"/>
        <v>1.5693597520900453</v>
      </c>
      <c r="T382" s="160" t="str">
        <f t="shared" si="211"/>
        <v>1+0.0257814727167373i</v>
      </c>
      <c r="U382" s="160">
        <f t="shared" si="220"/>
        <v>1.0003322869604099</v>
      </c>
      <c r="V382" s="160">
        <f t="shared" si="221"/>
        <v>2.5775762813381203E-2</v>
      </c>
      <c r="W382" s="98" t="str">
        <f t="shared" si="212"/>
        <v>1-0.204789003140041i</v>
      </c>
      <c r="X382" s="160">
        <f t="shared" si="222"/>
        <v>1.0207539056046231</v>
      </c>
      <c r="Y382" s="160">
        <f t="shared" si="223"/>
        <v>-0.20199610115013186</v>
      </c>
      <c r="Z382" s="98" t="str">
        <f t="shared" si="213"/>
        <v>0.961510703841167+0.3950184742116i</v>
      </c>
      <c r="AA382" s="160">
        <f t="shared" si="224"/>
        <v>1.0394914278480591</v>
      </c>
      <c r="AB382" s="160">
        <f t="shared" si="225"/>
        <v>0.38980849769041742</v>
      </c>
      <c r="AC382" s="171" t="str">
        <f t="shared" si="226"/>
        <v>-0.0821132977319599-0.129646016522052i</v>
      </c>
      <c r="AD382" s="190">
        <f t="shared" si="227"/>
        <v>-16.279964883789361</v>
      </c>
      <c r="AE382" s="169">
        <f t="shared" si="228"/>
        <v>-122.34875371951613</v>
      </c>
      <c r="AF382" s="98" t="str">
        <f t="shared" si="214"/>
        <v>-0.0000366300366300366</v>
      </c>
      <c r="AG382" s="98" t="str">
        <f t="shared" si="215"/>
        <v>0.0189246980580305i</v>
      </c>
      <c r="AH382" s="98">
        <f t="shared" si="229"/>
        <v>1.8924698058030501E-2</v>
      </c>
      <c r="AI382" s="98">
        <f t="shared" si="230"/>
        <v>1.5707963267948966</v>
      </c>
      <c r="AJ382" s="98" t="str">
        <f t="shared" si="216"/>
        <v>1+2.70296044517134i</v>
      </c>
      <c r="AK382" s="98">
        <f t="shared" si="231"/>
        <v>2.8820123469827199</v>
      </c>
      <c r="AL382" s="98">
        <f t="shared" si="232"/>
        <v>1.2164474411699586</v>
      </c>
      <c r="AM382" s="98" t="str">
        <f t="shared" si="217"/>
        <v>1+186.504270716822i</v>
      </c>
      <c r="AN382" s="98">
        <f t="shared" si="233"/>
        <v>186.50695160131062</v>
      </c>
      <c r="AO382" s="98">
        <f t="shared" si="234"/>
        <v>1.5654345706628328</v>
      </c>
      <c r="AP382" s="168" t="str">
        <f t="shared" si="235"/>
        <v>-0.0428317010630377+0.117707961596265i</v>
      </c>
      <c r="AQ382" s="98">
        <f t="shared" si="236"/>
        <v>-18.043848389319251</v>
      </c>
      <c r="AR382" s="169">
        <f t="shared" si="237"/>
        <v>109.99548962432732</v>
      </c>
      <c r="AS382" s="168" t="str">
        <f t="shared" si="238"/>
        <v>0.0187774205556419-0.00411242947229003i</v>
      </c>
      <c r="AT382" s="190">
        <f t="shared" si="239"/>
        <v>-34.323813273108634</v>
      </c>
      <c r="AU382" s="169">
        <f t="shared" si="240"/>
        <v>-12.353264095188848</v>
      </c>
      <c r="AV382" s="225"/>
      <c r="AX382">
        <f t="shared" si="241"/>
        <v>0</v>
      </c>
      <c r="AY382">
        <f t="shared" si="242"/>
        <v>0</v>
      </c>
    </row>
    <row r="383" spans="14:51" x14ac:dyDescent="0.3">
      <c r="N383" s="170">
        <v>65</v>
      </c>
      <c r="O383" s="199">
        <f t="shared" si="208"/>
        <v>44668.359215096389</v>
      </c>
      <c r="P383" s="189" t="str">
        <f t="shared" si="209"/>
        <v>108.75</v>
      </c>
      <c r="Q383" s="160" t="str">
        <f t="shared" si="210"/>
        <v>1+712.314009766297i</v>
      </c>
      <c r="R383" s="160">
        <f t="shared" si="218"/>
        <v>712.31471170357008</v>
      </c>
      <c r="S383" s="160">
        <f t="shared" si="219"/>
        <v>1.5693924524791667</v>
      </c>
      <c r="T383" s="160" t="str">
        <f t="shared" si="211"/>
        <v>1+0.0263820003617148i</v>
      </c>
      <c r="U383" s="160">
        <f t="shared" si="220"/>
        <v>1.0003479444388765</v>
      </c>
      <c r="V383" s="160">
        <f t="shared" si="221"/>
        <v>2.6375882204966984E-2</v>
      </c>
      <c r="W383" s="98" t="str">
        <f t="shared" si="212"/>
        <v>1-0.209559151809366i</v>
      </c>
      <c r="X383" s="160">
        <f t="shared" si="222"/>
        <v>1.0217216049918201</v>
      </c>
      <c r="Y383" s="160">
        <f t="shared" si="223"/>
        <v>-0.206569928865004</v>
      </c>
      <c r="Z383" s="98" t="str">
        <f t="shared" si="213"/>
        <v>0.9596967591977+0.404219636482167i</v>
      </c>
      <c r="AA383" s="160">
        <f t="shared" si="224"/>
        <v>1.0413507498111976</v>
      </c>
      <c r="AB383" s="160">
        <f t="shared" si="225"/>
        <v>0.39864351051222124</v>
      </c>
      <c r="AC383" s="171" t="str">
        <f t="shared" si="226"/>
        <v>-0.0817970396108968-0.125550573221855i</v>
      </c>
      <c r="AD383" s="190">
        <f t="shared" si="227"/>
        <v>-16.487120430750316</v>
      </c>
      <c r="AE383" s="169">
        <f t="shared" si="228"/>
        <v>-123.08451297637477</v>
      </c>
      <c r="AF383" s="98" t="str">
        <f t="shared" si="214"/>
        <v>-0.0000366300366300366</v>
      </c>
      <c r="AG383" s="98" t="str">
        <f t="shared" si="215"/>
        <v>0.0193655109038118i</v>
      </c>
      <c r="AH383" s="98">
        <f t="shared" si="229"/>
        <v>1.9365510903811799E-2</v>
      </c>
      <c r="AI383" s="98">
        <f t="shared" si="230"/>
        <v>1.5707963267948966</v>
      </c>
      <c r="AJ383" s="98" t="str">
        <f t="shared" si="216"/>
        <v>1+2.76592048195591i</v>
      </c>
      <c r="AK383" s="98">
        <f t="shared" si="231"/>
        <v>2.9411419742173641</v>
      </c>
      <c r="AL383" s="98">
        <f t="shared" si="232"/>
        <v>1.2238751888142649</v>
      </c>
      <c r="AM383" s="98" t="str">
        <f t="shared" si="217"/>
        <v>1+190.848513254957i</v>
      </c>
      <c r="AN383" s="98">
        <f t="shared" si="233"/>
        <v>190.85113311591184</v>
      </c>
      <c r="AO383" s="98">
        <f t="shared" si="234"/>
        <v>1.5655566168730943</v>
      </c>
      <c r="AP383" s="168" t="str">
        <f t="shared" si="235"/>
        <v>-0.0411268094075179+0.115644993418532i</v>
      </c>
      <c r="AQ383" s="98">
        <f t="shared" si="236"/>
        <v>-18.220257051040065</v>
      </c>
      <c r="AR383" s="169">
        <f t="shared" si="237"/>
        <v>109.57690376577369</v>
      </c>
      <c r="AS383" s="168" t="str">
        <f t="shared" si="238"/>
        <v>0.0178833464721109-0.00429592361155771i</v>
      </c>
      <c r="AT383" s="190">
        <f t="shared" si="239"/>
        <v>-34.707377481790374</v>
      </c>
      <c r="AU383" s="169">
        <f t="shared" si="240"/>
        <v>-13.507609210601064</v>
      </c>
      <c r="AV383" s="225"/>
      <c r="AX383">
        <f t="shared" si="241"/>
        <v>0</v>
      </c>
      <c r="AY383">
        <f t="shared" si="242"/>
        <v>0</v>
      </c>
    </row>
    <row r="384" spans="14:51" x14ac:dyDescent="0.3">
      <c r="N384" s="170">
        <v>66</v>
      </c>
      <c r="O384" s="199">
        <f t="shared" ref="O384:O418" si="243">10^(4+(N384/100))</f>
        <v>45708.818961487581</v>
      </c>
      <c r="P384" s="189" t="str">
        <f t="shared" si="209"/>
        <v>108.75</v>
      </c>
      <c r="Q384" s="160" t="str">
        <f t="shared" si="210"/>
        <v>1+728.905934497254i</v>
      </c>
      <c r="R384" s="160">
        <f t="shared" si="218"/>
        <v>728.90662045649924</v>
      </c>
      <c r="S384" s="160">
        <f t="shared" si="219"/>
        <v>1.5694244085194569</v>
      </c>
      <c r="T384" s="160" t="str">
        <f t="shared" si="211"/>
        <v>1+0.026996516092491i</v>
      </c>
      <c r="U384" s="160">
        <f t="shared" si="220"/>
        <v>1.0003643395689052</v>
      </c>
      <c r="V384" s="160">
        <f t="shared" si="221"/>
        <v>2.6989960498370116E-2</v>
      </c>
      <c r="W384" s="98" t="str">
        <f t="shared" si="212"/>
        <v>1-0.214440411514822i</v>
      </c>
      <c r="X384" s="160">
        <f t="shared" si="222"/>
        <v>1.0227339292751787</v>
      </c>
      <c r="Y384" s="160">
        <f t="shared" si="223"/>
        <v>-0.21124123417752497</v>
      </c>
      <c r="Z384" s="98" t="str">
        <f t="shared" si="213"/>
        <v>0.957797325976942+0.413635121354474i</v>
      </c>
      <c r="AA384" s="160">
        <f t="shared" si="224"/>
        <v>1.0432975276815866</v>
      </c>
      <c r="AB384" s="160">
        <f t="shared" si="225"/>
        <v>0.4076674268339438</v>
      </c>
      <c r="AC384" s="171" t="str">
        <f t="shared" si="226"/>
        <v>-0.0814669027756131-0.121529297982326i</v>
      </c>
      <c r="AD384" s="190">
        <f t="shared" si="227"/>
        <v>-16.694598832775075</v>
      </c>
      <c r="AE384" s="169">
        <f t="shared" si="228"/>
        <v>-123.83583822724914</v>
      </c>
      <c r="AF384" s="98" t="str">
        <f t="shared" si="214"/>
        <v>-0.0000366300366300366</v>
      </c>
      <c r="AG384" s="98" t="str">
        <f t="shared" si="215"/>
        <v>0.0198165915998072i</v>
      </c>
      <c r="AH384" s="98">
        <f t="shared" si="229"/>
        <v>1.9816591599807198E-2</v>
      </c>
      <c r="AI384" s="98">
        <f t="shared" si="230"/>
        <v>1.5707963267948966</v>
      </c>
      <c r="AJ384" s="98" t="str">
        <f t="shared" si="216"/>
        <v>1+2.83034704639128i</v>
      </c>
      <c r="AK384" s="98">
        <f t="shared" si="231"/>
        <v>3.0018101877060519</v>
      </c>
      <c r="AL384" s="98">
        <f t="shared" si="232"/>
        <v>1.2311726133280378</v>
      </c>
      <c r="AM384" s="98" t="str">
        <f t="shared" si="217"/>
        <v>1+195.293946200998i</v>
      </c>
      <c r="AN384" s="98">
        <f t="shared" si="233"/>
        <v>195.29650642742766</v>
      </c>
      <c r="AO384" s="98">
        <f t="shared" si="234"/>
        <v>1.5656758851232713</v>
      </c>
      <c r="AP384" s="168" t="str">
        <f t="shared" si="235"/>
        <v>-0.039481218023282+0.113594001741283i</v>
      </c>
      <c r="AQ384" s="98">
        <f t="shared" si="236"/>
        <v>-18.397607177636502</v>
      </c>
      <c r="AR384" s="169">
        <f t="shared" si="237"/>
        <v>109.16562570718438</v>
      </c>
      <c r="AS384" s="168" t="str">
        <f t="shared" si="238"/>
        <v>0.0170214118367867-0.00445602678589331i</v>
      </c>
      <c r="AT384" s="190">
        <f t="shared" si="239"/>
        <v>-35.092206010411594</v>
      </c>
      <c r="AU384" s="169">
        <f t="shared" si="240"/>
        <v>-14.67021252006481</v>
      </c>
      <c r="AV384" s="225"/>
      <c r="AX384">
        <f t="shared" si="241"/>
        <v>0</v>
      </c>
      <c r="AY384">
        <f t="shared" si="242"/>
        <v>0</v>
      </c>
    </row>
    <row r="385" spans="14:51" x14ac:dyDescent="0.3">
      <c r="N385" s="170">
        <v>67</v>
      </c>
      <c r="O385" s="199">
        <f t="shared" si="243"/>
        <v>46773.514128719893</v>
      </c>
      <c r="P385" s="189" t="str">
        <f t="shared" si="209"/>
        <v>108.75</v>
      </c>
      <c r="Q385" s="160" t="str">
        <f t="shared" si="210"/>
        <v>1+745.884334802896i</v>
      </c>
      <c r="R385" s="160">
        <f t="shared" si="218"/>
        <v>745.88500514781674</v>
      </c>
      <c r="S385" s="160">
        <f t="shared" si="219"/>
        <v>1.5694556371541701</v>
      </c>
      <c r="T385" s="160" t="str">
        <f t="shared" si="211"/>
        <v>1+0.0276253457334407i</v>
      </c>
      <c r="U385" s="160">
        <f t="shared" si="220"/>
        <v>1.0003815070896165</v>
      </c>
      <c r="V385" s="160">
        <f t="shared" si="221"/>
        <v>2.7618321432456707E-2</v>
      </c>
      <c r="W385" s="98" t="str">
        <f t="shared" si="212"/>
        <v>1-0.219435370364919i</v>
      </c>
      <c r="X385" s="160">
        <f t="shared" si="222"/>
        <v>1.0237928900745448</v>
      </c>
      <c r="Y385" s="160">
        <f t="shared" si="223"/>
        <v>-0.21601167803225163</v>
      </c>
      <c r="Z385" s="98" t="str">
        <f t="shared" si="213"/>
        <v>0.955808375226369+0.423269921043234i</v>
      </c>
      <c r="AA385" s="160">
        <f t="shared" si="224"/>
        <v>1.0453358676582454</v>
      </c>
      <c r="AB385" s="160">
        <f t="shared" si="225"/>
        <v>0.41688351100989191</v>
      </c>
      <c r="AC385" s="171" t="str">
        <f t="shared" si="226"/>
        <v>-0.0811224472074757-0.117580535698426i</v>
      </c>
      <c r="AD385" s="190">
        <f t="shared" si="227"/>
        <v>-16.902413979876897</v>
      </c>
      <c r="AE385" s="169">
        <f t="shared" si="228"/>
        <v>-124.60299409288311</v>
      </c>
      <c r="AF385" s="98" t="str">
        <f t="shared" si="214"/>
        <v>-0.0000366300366300366</v>
      </c>
      <c r="AG385" s="98" t="str">
        <f t="shared" si="215"/>
        <v>0.0202781793149723i</v>
      </c>
      <c r="AH385" s="98">
        <f t="shared" si="229"/>
        <v>2.0278179314972299E-2</v>
      </c>
      <c r="AI385" s="98">
        <f t="shared" si="230"/>
        <v>1.5707963267948966</v>
      </c>
      <c r="AJ385" s="98" t="str">
        <f t="shared" si="216"/>
        <v>1+2.89627429829473i</v>
      </c>
      <c r="AK385" s="98">
        <f t="shared" si="231"/>
        <v>3.0640503930194471</v>
      </c>
      <c r="AL385" s="98">
        <f t="shared" si="232"/>
        <v>1.2383404741013893</v>
      </c>
      <c r="AM385" s="98" t="str">
        <f t="shared" si="217"/>
        <v>1+199.842926582336i</v>
      </c>
      <c r="AN385" s="98">
        <f t="shared" si="233"/>
        <v>199.84542853163524</v>
      </c>
      <c r="AO385" s="98">
        <f t="shared" si="234"/>
        <v>1.5657924386373883</v>
      </c>
      <c r="AP385" s="168" t="str">
        <f t="shared" si="235"/>
        <v>-0.0378935409408732+0.111556465694169i</v>
      </c>
      <c r="AQ385" s="98">
        <f t="shared" si="236"/>
        <v>-18.575865831630026</v>
      </c>
      <c r="AR385" s="169">
        <f t="shared" si="237"/>
        <v>108.76161556118028</v>
      </c>
      <c r="AS385" s="168" t="str">
        <f t="shared" si="238"/>
        <v>0.0161908857714238-0.00459419065558969i</v>
      </c>
      <c r="AT385" s="190">
        <f t="shared" si="239"/>
        <v>-35.478279811506908</v>
      </c>
      <c r="AU385" s="169">
        <f t="shared" si="240"/>
        <v>-15.841378531702812</v>
      </c>
      <c r="AV385" s="225"/>
      <c r="AX385">
        <f t="shared" si="241"/>
        <v>0</v>
      </c>
      <c r="AY385">
        <f t="shared" si="242"/>
        <v>0</v>
      </c>
    </row>
    <row r="386" spans="14:51" x14ac:dyDescent="0.3">
      <c r="N386" s="170">
        <v>68</v>
      </c>
      <c r="O386" s="199">
        <f t="shared" si="243"/>
        <v>47863.009232263823</v>
      </c>
      <c r="P386" s="189" t="str">
        <f t="shared" si="209"/>
        <v>108.75</v>
      </c>
      <c r="Q386" s="160" t="str">
        <f t="shared" si="210"/>
        <v>1+763.258212855793i</v>
      </c>
      <c r="R386" s="160">
        <f t="shared" si="218"/>
        <v>763.25886794181372</v>
      </c>
      <c r="S386" s="160">
        <f t="shared" si="219"/>
        <v>1.5694861549408985</v>
      </c>
      <c r="T386" s="160" t="str">
        <f t="shared" si="211"/>
        <v>1+0.0282688226983628i</v>
      </c>
      <c r="U386" s="160">
        <f t="shared" si="220"/>
        <v>1.0003994833748924</v>
      </c>
      <c r="V386" s="160">
        <f t="shared" si="221"/>
        <v>2.8261296186571222E-2</v>
      </c>
      <c r="W386" s="98" t="str">
        <f t="shared" si="212"/>
        <v>1-0.224546676752953i</v>
      </c>
      <c r="X386" s="160">
        <f t="shared" si="222"/>
        <v>1.0249005854427029</v>
      </c>
      <c r="Y386" s="160">
        <f t="shared" si="223"/>
        <v>-0.22088292088854689</v>
      </c>
      <c r="Z386" s="98" t="str">
        <f t="shared" si="213"/>
        <v>0.953725688114778+0.433129144046768i</v>
      </c>
      <c r="AA386" s="160">
        <f t="shared" si="224"/>
        <v>1.0474700681130191</v>
      </c>
      <c r="AB386" s="160">
        <f t="shared" si="225"/>
        <v>0.42629503049874468</v>
      </c>
      <c r="AC386" s="171" t="str">
        <f t="shared" si="226"/>
        <v>-0.0807632245878484-0.113702696452196i</v>
      </c>
      <c r="AD386" s="190">
        <f t="shared" si="227"/>
        <v>-17.11058029835106</v>
      </c>
      <c r="AE386" s="169">
        <f t="shared" si="228"/>
        <v>-125.38624489568386</v>
      </c>
      <c r="AF386" s="98" t="str">
        <f t="shared" si="214"/>
        <v>-0.0000366300366300366</v>
      </c>
      <c r="AG386" s="98" t="str">
        <f t="shared" si="215"/>
        <v>0.0207505187892237i</v>
      </c>
      <c r="AH386" s="98">
        <f t="shared" si="229"/>
        <v>2.0750518789223699E-2</v>
      </c>
      <c r="AI386" s="98">
        <f t="shared" si="230"/>
        <v>1.5707963267948966</v>
      </c>
      <c r="AJ386" s="98" t="str">
        <f t="shared" si="216"/>
        <v>1+2.96373719316785i</v>
      </c>
      <c r="AK386" s="98">
        <f t="shared" si="231"/>
        <v>3.1278967614303457</v>
      </c>
      <c r="AL386" s="98">
        <f t="shared" si="232"/>
        <v>1.2453796245178437</v>
      </c>
      <c r="AM386" s="98" t="str">
        <f t="shared" si="217"/>
        <v>1+204.497866328581i</v>
      </c>
      <c r="AN386" s="98">
        <f t="shared" si="233"/>
        <v>204.50031132725002</v>
      </c>
      <c r="AO386" s="98">
        <f t="shared" si="234"/>
        <v>1.5659063392009871</v>
      </c>
      <c r="AP386" s="168" t="str">
        <f t="shared" si="235"/>
        <v>-0.0363623695374194+0.109533765865078i</v>
      </c>
      <c r="AQ386" s="98">
        <f t="shared" si="236"/>
        <v>-18.755000860827742</v>
      </c>
      <c r="AR386" s="169">
        <f t="shared" si="237"/>
        <v>108.36482797253802</v>
      </c>
      <c r="AS386" s="168" t="str">
        <f t="shared" si="238"/>
        <v>0.0153910267489198-0.00471180066671832i</v>
      </c>
      <c r="AT386" s="190">
        <f t="shared" si="239"/>
        <v>-35.865581159178809</v>
      </c>
      <c r="AU386" s="169">
        <f t="shared" si="240"/>
        <v>-17.021416923145853</v>
      </c>
      <c r="AV386" s="225"/>
      <c r="AX386">
        <f t="shared" si="241"/>
        <v>0</v>
      </c>
      <c r="AY386">
        <f t="shared" si="242"/>
        <v>0</v>
      </c>
    </row>
    <row r="387" spans="14:51" x14ac:dyDescent="0.3">
      <c r="N387" s="170">
        <v>69</v>
      </c>
      <c r="O387" s="199">
        <f t="shared" si="243"/>
        <v>48977.881936844598</v>
      </c>
      <c r="P387" s="189" t="str">
        <f t="shared" si="209"/>
        <v>108.75</v>
      </c>
      <c r="Q387" s="160" t="str">
        <f t="shared" si="210"/>
        <v>1+781.036780516064i</v>
      </c>
      <c r="R387" s="160">
        <f t="shared" si="218"/>
        <v>781.03742069051884</v>
      </c>
      <c r="S387" s="160">
        <f t="shared" si="219"/>
        <v>1.5695159780603489</v>
      </c>
      <c r="T387" s="160" t="str">
        <f t="shared" si="211"/>
        <v>1+0.0289272881672617i</v>
      </c>
      <c r="U387" s="160">
        <f t="shared" si="220"/>
        <v>1.0004183065101877</v>
      </c>
      <c r="V387" s="160">
        <f t="shared" si="221"/>
        <v>2.891922354669078E-2</v>
      </c>
      <c r="W387" s="98" t="str">
        <f t="shared" si="212"/>
        <v>1-0.229777040761228i</v>
      </c>
      <c r="X387" s="160">
        <f t="shared" si="222"/>
        <v>1.0260592031949165</v>
      </c>
      <c r="Y387" s="160">
        <f t="shared" si="223"/>
        <v>-0.2258566204043565</v>
      </c>
      <c r="Z387" s="98" t="str">
        <f t="shared" si="213"/>
        <v>0.951544846983573+0.443218017855618i</v>
      </c>
      <c r="AA387" s="160">
        <f t="shared" si="224"/>
        <v>1.0497046285374063</v>
      </c>
      <c r="AB387" s="160">
        <f t="shared" si="225"/>
        <v>0.43590525164774019</v>
      </c>
      <c r="AC387" s="171" t="str">
        <f t="shared" si="226"/>
        <v>-0.0803887790714721-0.109894255807289i</v>
      </c>
      <c r="AD387" s="190">
        <f t="shared" si="227"/>
        <v>-17.319112765903956</v>
      </c>
      <c r="AE387" s="169">
        <f t="shared" si="228"/>
        <v>-126.18585427644618</v>
      </c>
      <c r="AF387" s="98" t="str">
        <f t="shared" si="214"/>
        <v>-0.0000366300366300366</v>
      </c>
      <c r="AG387" s="98" t="str">
        <f t="shared" si="215"/>
        <v>0.0212338604632027i</v>
      </c>
      <c r="AH387" s="98">
        <f t="shared" si="229"/>
        <v>2.1233860463202699E-2</v>
      </c>
      <c r="AI387" s="98">
        <f t="shared" si="230"/>
        <v>1.5707963267948966</v>
      </c>
      <c r="AJ387" s="98" t="str">
        <f t="shared" si="216"/>
        <v>1+3.03277150073049i</v>
      </c>
      <c r="AK387" s="98">
        <f t="shared" si="231"/>
        <v>3.1933842511735206</v>
      </c>
      <c r="AL387" s="98">
        <f t="shared" si="232"/>
        <v>1.2522910056179686</v>
      </c>
      <c r="AM387" s="98" t="str">
        <f t="shared" si="217"/>
        <v>1+209.261233550403i</v>
      </c>
      <c r="AN387" s="98">
        <f t="shared" si="233"/>
        <v>209.2636228947504</v>
      </c>
      <c r="AO387" s="98">
        <f t="shared" si="234"/>
        <v>1.5660176471938261</v>
      </c>
      <c r="AP387" s="168" t="str">
        <f t="shared" si="235"/>
        <v>-0.0348862781082586+0.107527186651775i</v>
      </c>
      <c r="AQ387" s="98">
        <f t="shared" si="236"/>
        <v>-18.934980909496232</v>
      </c>
      <c r="AR387" s="169">
        <f t="shared" si="237"/>
        <v>107.97521248311016</v>
      </c>
      <c r="AS387" s="168" t="str">
        <f t="shared" si="238"/>
        <v>0.014621085459619-0.00481017768133329i</v>
      </c>
      <c r="AT387" s="190">
        <f t="shared" si="239"/>
        <v>-36.254093675400192</v>
      </c>
      <c r="AU387" s="169">
        <f t="shared" si="240"/>
        <v>-18.210641793336052</v>
      </c>
      <c r="AV387" s="225"/>
      <c r="AX387">
        <f t="shared" si="241"/>
        <v>0</v>
      </c>
      <c r="AY387">
        <f t="shared" si="242"/>
        <v>0</v>
      </c>
    </row>
    <row r="388" spans="14:51" x14ac:dyDescent="0.3">
      <c r="N388" s="170">
        <v>70</v>
      </c>
      <c r="O388" s="199">
        <f t="shared" si="243"/>
        <v>50118.723362727294</v>
      </c>
      <c r="P388" s="189" t="str">
        <f t="shared" si="209"/>
        <v>108.75</v>
      </c>
      <c r="Q388" s="160" t="str">
        <f t="shared" si="210"/>
        <v>1+799.229464215611i</v>
      </c>
      <c r="R388" s="160">
        <f t="shared" si="218"/>
        <v>799.23008981792748</v>
      </c>
      <c r="S388" s="160">
        <f t="shared" si="219"/>
        <v>1.5695451223249215</v>
      </c>
      <c r="T388" s="160" t="str">
        <f t="shared" si="211"/>
        <v>1+0.029601091267245i</v>
      </c>
      <c r="U388" s="160">
        <f t="shared" si="220"/>
        <v>1.0004380163729345</v>
      </c>
      <c r="V388" s="160">
        <f t="shared" si="221"/>
        <v>2.9592450074938829E-2</v>
      </c>
      <c r="W388" s="98" t="str">
        <f t="shared" si="212"/>
        <v>1-0.235129235597974i</v>
      </c>
      <c r="X388" s="160">
        <f t="shared" si="222"/>
        <v>1.0272710243323753</v>
      </c>
      <c r="Y388" s="160">
        <f t="shared" si="223"/>
        <v>-0.2309344289547898</v>
      </c>
      <c r="Z388" s="98" t="str">
        <f t="shared" si="213"/>
        <v>0.949261225976325+0.453541891724221i</v>
      </c>
      <c r="AA388" s="160">
        <f t="shared" si="224"/>
        <v>1.0520442589030468</v>
      </c>
      <c r="AB388" s="160">
        <f t="shared" si="225"/>
        <v>0.44571743517154344</v>
      </c>
      <c r="AC388" s="171" t="str">
        <f t="shared" si="226"/>
        <v>-0.0799986481584324-0.106153755143989i</v>
      </c>
      <c r="AD388" s="190">
        <f t="shared" si="227"/>
        <v>-17.528026926688341</v>
      </c>
      <c r="AE388" s="169">
        <f t="shared" si="228"/>
        <v>-127.00208478391558</v>
      </c>
      <c r="AF388" s="98" t="str">
        <f t="shared" si="214"/>
        <v>-0.0000366300366300366</v>
      </c>
      <c r="AG388" s="98" t="str">
        <f t="shared" si="215"/>
        <v>0.0217284606110628i</v>
      </c>
      <c r="AH388" s="98">
        <f t="shared" si="229"/>
        <v>2.1728460611062799E-2</v>
      </c>
      <c r="AI388" s="98">
        <f t="shared" si="230"/>
        <v>1.5707963267948966</v>
      </c>
      <c r="AJ388" s="98" t="str">
        <f t="shared" si="216"/>
        <v>1+3.1034138238863i</v>
      </c>
      <c r="AK388" s="98">
        <f t="shared" si="231"/>
        <v>3.2605486290329404</v>
      </c>
      <c r="AL388" s="98">
        <f t="shared" si="232"/>
        <v>1.2590756399234384</v>
      </c>
      <c r="AM388" s="98" t="str">
        <f t="shared" si="217"/>
        <v>1+214.135553848154i</v>
      </c>
      <c r="AN388" s="98">
        <f t="shared" si="233"/>
        <v>214.13788880498393</v>
      </c>
      <c r="AO388" s="98">
        <f t="shared" si="234"/>
        <v>1.5661264216218378</v>
      </c>
      <c r="AP388" s="168" t="str">
        <f t="shared" si="235"/>
        <v>-0.0334638290708674+0.105537918838832i</v>
      </c>
      <c r="AQ388" s="98">
        <f t="shared" si="236"/>
        <v>-19.115775426507355</v>
      </c>
      <c r="AR388" s="169">
        <f t="shared" si="237"/>
        <v>107.59271388751111</v>
      </c>
      <c r="AS388" s="168" t="str">
        <f t="shared" si="238"/>
        <v>0.0138803074826978-0.00489057971919176i</v>
      </c>
      <c r="AT388" s="190">
        <f t="shared" si="239"/>
        <v>-36.643802353195703</v>
      </c>
      <c r="AU388" s="169">
        <f t="shared" si="240"/>
        <v>-19.409370896404475</v>
      </c>
      <c r="AV388" s="225"/>
      <c r="AX388">
        <f t="shared" si="241"/>
        <v>0</v>
      </c>
      <c r="AY388">
        <f t="shared" si="242"/>
        <v>0</v>
      </c>
    </row>
    <row r="389" spans="14:51" x14ac:dyDescent="0.3">
      <c r="N389" s="170">
        <v>71</v>
      </c>
      <c r="O389" s="199">
        <f t="shared" si="243"/>
        <v>51286.138399136544</v>
      </c>
      <c r="P389" s="189" t="str">
        <f t="shared" si="209"/>
        <v>108.75</v>
      </c>
      <c r="Q389" s="160" t="str">
        <f t="shared" si="210"/>
        <v>1+817.845909956139i</v>
      </c>
      <c r="R389" s="160">
        <f t="shared" si="218"/>
        <v>817.8465213180192</v>
      </c>
      <c r="S389" s="160">
        <f t="shared" si="219"/>
        <v>1.569573603187093</v>
      </c>
      <c r="T389" s="160" t="str">
        <f t="shared" si="211"/>
        <v>1+0.0302905892576349i</v>
      </c>
      <c r="U389" s="160">
        <f t="shared" si="220"/>
        <v>1.0004586547167129</v>
      </c>
      <c r="V389" s="160">
        <f t="shared" si="221"/>
        <v>3.028133028250176E-2</v>
      </c>
      <c r="W389" s="98" t="str">
        <f t="shared" si="212"/>
        <v>1-0.240606099067738i</v>
      </c>
      <c r="X389" s="160">
        <f t="shared" si="222"/>
        <v>1.0285384265590636</v>
      </c>
      <c r="Y389" s="160">
        <f t="shared" si="223"/>
        <v>-0.23611799097915223</v>
      </c>
      <c r="Z389" s="98" t="str">
        <f t="shared" si="213"/>
        <v>0.946869981226706+0.464106239507154i</v>
      </c>
      <c r="AA389" s="160">
        <f t="shared" si="224"/>
        <v>1.0544938894549054</v>
      </c>
      <c r="AB389" s="160">
        <f t="shared" si="225"/>
        <v>0.45573483131393488</v>
      </c>
      <c r="AC389" s="171" t="str">
        <f t="shared" si="226"/>
        <v>-0.0795923636714224-0.102479802028954i</v>
      </c>
      <c r="AD389" s="190">
        <f t="shared" si="227"/>
        <v>-17.737338906183211</v>
      </c>
      <c r="AE389" s="169">
        <f t="shared" si="228"/>
        <v>-127.83519743614134</v>
      </c>
      <c r="AF389" s="98" t="str">
        <f t="shared" si="214"/>
        <v>-0.0000366300366300366</v>
      </c>
      <c r="AG389" s="98" t="str">
        <f t="shared" si="215"/>
        <v>0.0222345814763489i</v>
      </c>
      <c r="AH389" s="98">
        <f t="shared" si="229"/>
        <v>2.2234581476348901E-2</v>
      </c>
      <c r="AI389" s="98">
        <f t="shared" si="230"/>
        <v>1.5707963267948966</v>
      </c>
      <c r="AJ389" s="98" t="str">
        <f t="shared" si="216"/>
        <v>1+3.17570161813008i</v>
      </c>
      <c r="AK389" s="98">
        <f t="shared" si="231"/>
        <v>3.3294264922646977</v>
      </c>
      <c r="AL389" s="98">
        <f t="shared" si="232"/>
        <v>1.2657346254349588</v>
      </c>
      <c r="AM389" s="98" t="str">
        <f t="shared" si="217"/>
        <v>1+219.123411650975i</v>
      </c>
      <c r="AN389" s="98">
        <f t="shared" si="233"/>
        <v>219.12569345825841</v>
      </c>
      <c r="AO389" s="98">
        <f t="shared" si="234"/>
        <v>1.5662327201483617</v>
      </c>
      <c r="AP389" s="168" t="str">
        <f t="shared" si="235"/>
        <v>-0.032093577804155+0.103567062364316i</v>
      </c>
      <c r="AQ389" s="98">
        <f t="shared" si="236"/>
        <v>-19.297354670659054</v>
      </c>
      <c r="AR389" s="169">
        <f t="shared" si="237"/>
        <v>107.21727257880042</v>
      </c>
      <c r="AS389" s="168" t="str">
        <f t="shared" si="238"/>
        <v>0.0131679357639208-0.00495420379231089i</v>
      </c>
      <c r="AT389" s="190">
        <f t="shared" si="239"/>
        <v>-37.03469357684228</v>
      </c>
      <c r="AU389" s="169">
        <f t="shared" si="240"/>
        <v>-20.617924857340991</v>
      </c>
      <c r="AV389" s="225"/>
      <c r="AX389">
        <f t="shared" si="241"/>
        <v>0</v>
      </c>
      <c r="AY389">
        <f t="shared" si="242"/>
        <v>0</v>
      </c>
    </row>
    <row r="390" spans="14:51" x14ac:dyDescent="0.3">
      <c r="N390" s="170">
        <v>72</v>
      </c>
      <c r="O390" s="199">
        <f t="shared" si="243"/>
        <v>52480.746024977314</v>
      </c>
      <c r="P390" s="189" t="str">
        <f t="shared" si="209"/>
        <v>108.75</v>
      </c>
      <c r="Q390" s="160" t="str">
        <f t="shared" si="210"/>
        <v>1+836.895988423592i</v>
      </c>
      <c r="R390" s="160">
        <f t="shared" si="218"/>
        <v>836.89658586918665</v>
      </c>
      <c r="S390" s="160">
        <f t="shared" si="219"/>
        <v>1.5696014357476089</v>
      </c>
      <c r="T390" s="160" t="str">
        <f t="shared" si="211"/>
        <v>1+0.0309961477193924i</v>
      </c>
      <c r="U390" s="160">
        <f t="shared" si="220"/>
        <v>1.0004802652593614</v>
      </c>
      <c r="V390" s="160">
        <f t="shared" si="221"/>
        <v>3.0986226805990107E-2</v>
      </c>
      <c r="W390" s="98" t="str">
        <f t="shared" si="212"/>
        <v>1-0.246210535076025i</v>
      </c>
      <c r="X390" s="160">
        <f t="shared" si="222"/>
        <v>1.0298638878912214</v>
      </c>
      <c r="Y390" s="160">
        <f t="shared" si="223"/>
        <v>-0.24140894015022613</v>
      </c>
      <c r="Z390" s="98" t="str">
        <f t="shared" si="213"/>
        <v>0.944366040584004+0.474916662561443i</v>
      </c>
      <c r="AA390" s="160">
        <f t="shared" si="224"/>
        <v>1.057058680957121</v>
      </c>
      <c r="AB390" s="160">
        <f t="shared" si="225"/>
        <v>0.46596067468067698</v>
      </c>
      <c r="AC390" s="171" t="str">
        <f t="shared" si="226"/>
        <v>-0.0791694528450061-0.098871070613084i</v>
      </c>
      <c r="AD390" s="190">
        <f t="shared" si="227"/>
        <v>-17.947065425854486</v>
      </c>
      <c r="AE390" s="169">
        <f t="shared" si="228"/>
        <v>-128.68545125259951</v>
      </c>
      <c r="AF390" s="98" t="str">
        <f t="shared" si="214"/>
        <v>-0.0000366300366300366</v>
      </c>
      <c r="AG390" s="98" t="str">
        <f t="shared" si="215"/>
        <v>0.0227524914110433i</v>
      </c>
      <c r="AH390" s="98">
        <f t="shared" si="229"/>
        <v>2.27524914110433E-2</v>
      </c>
      <c r="AI390" s="98">
        <f t="shared" si="230"/>
        <v>1.5707963267948966</v>
      </c>
      <c r="AJ390" s="98" t="str">
        <f t="shared" si="216"/>
        <v>1+3.24967321140716i</v>
      </c>
      <c r="AK390" s="98">
        <f t="shared" si="231"/>
        <v>3.4000552908647417</v>
      </c>
      <c r="AL390" s="98">
        <f t="shared" si="232"/>
        <v>1.2722691298152142</v>
      </c>
      <c r="AM390" s="98" t="str">
        <f t="shared" si="217"/>
        <v>1+224.227451587093i</v>
      </c>
      <c r="AN390" s="98">
        <f t="shared" si="233"/>
        <v>224.22968145462397</v>
      </c>
      <c r="AO390" s="98">
        <f t="shared" si="234"/>
        <v>1.5663365991246689</v>
      </c>
      <c r="AP390" s="168" t="str">
        <f t="shared" si="235"/>
        <v>-0.0307740771286623+0.101615629242867i</v>
      </c>
      <c r="AQ390" s="98">
        <f t="shared" si="236"/>
        <v>-19.479689713376835</v>
      </c>
      <c r="AR390" s="169">
        <f t="shared" si="237"/>
        <v>106.84882488352466</v>
      </c>
      <c r="AS390" s="168" t="str">
        <f t="shared" si="238"/>
        <v>0.0124832129023507-0.00500218781481832i</v>
      </c>
      <c r="AT390" s="190">
        <f t="shared" si="239"/>
        <v>-37.426755139231311</v>
      </c>
      <c r="AU390" s="169">
        <f t="shared" si="240"/>
        <v>-21.836626369074825</v>
      </c>
      <c r="AV390" s="225"/>
      <c r="AX390">
        <f t="shared" si="241"/>
        <v>0</v>
      </c>
      <c r="AY390">
        <f t="shared" si="242"/>
        <v>0</v>
      </c>
    </row>
    <row r="391" spans="14:51" x14ac:dyDescent="0.3">
      <c r="N391" s="170">
        <v>73</v>
      </c>
      <c r="O391" s="199">
        <f t="shared" si="243"/>
        <v>53703.179637025423</v>
      </c>
      <c r="P391" s="189" t="str">
        <f t="shared" si="209"/>
        <v>108.75</v>
      </c>
      <c r="Q391" s="160" t="str">
        <f t="shared" si="210"/>
        <v>1+856.389800221738i</v>
      </c>
      <c r="R391" s="160">
        <f t="shared" si="218"/>
        <v>856.39038406782004</v>
      </c>
      <c r="S391" s="160">
        <f t="shared" si="219"/>
        <v>1.5696286347634882</v>
      </c>
      <c r="T391" s="160" t="str">
        <f t="shared" si="211"/>
        <v>1+0.0317181407489534i</v>
      </c>
      <c r="U391" s="160">
        <f t="shared" si="220"/>
        <v>1.0005028937752107</v>
      </c>
      <c r="V391" s="160">
        <f t="shared" si="221"/>
        <v>3.170751058728169E-2</v>
      </c>
      <c r="W391" s="98" t="str">
        <f t="shared" si="212"/>
        <v>1-0.251945515168992i</v>
      </c>
      <c r="X391" s="160">
        <f t="shared" si="222"/>
        <v>1.0312499903581909</v>
      </c>
      <c r="Y391" s="160">
        <f t="shared" si="223"/>
        <v>-0.2468088963598335</v>
      </c>
      <c r="Z391" s="98" t="str">
        <f t="shared" si="213"/>
        <v>0.941744092854405+0.485978892716489i</v>
      </c>
      <c r="AA391" s="160">
        <f t="shared" si="224"/>
        <v>1.0597440354123775</v>
      </c>
      <c r="AB391" s="160">
        <f t="shared" si="225"/>
        <v>0.47639817873234186</v>
      </c>
      <c r="AC391" s="171" t="str">
        <f t="shared" si="226"/>
        <v>-0.0787294395335775-0.0953263020501364i</v>
      </c>
      <c r="AD391" s="190">
        <f t="shared" si="227"/>
        <v>-18.157223817522549</v>
      </c>
      <c r="AE391" s="169">
        <f t="shared" si="228"/>
        <v>-129.55310275609403</v>
      </c>
      <c r="AF391" s="98" t="str">
        <f t="shared" si="214"/>
        <v>-0.0000366300366300366</v>
      </c>
      <c r="AG391" s="98" t="str">
        <f t="shared" si="215"/>
        <v>0.0232824650178487i</v>
      </c>
      <c r="AH391" s="98">
        <f t="shared" si="229"/>
        <v>2.32824650178487E-2</v>
      </c>
      <c r="AI391" s="98">
        <f t="shared" si="230"/>
        <v>1.5707963267948966</v>
      </c>
      <c r="AJ391" s="98" t="str">
        <f t="shared" si="216"/>
        <v>1+3.32536782443544i</v>
      </c>
      <c r="AK391" s="98">
        <f t="shared" si="231"/>
        <v>3.4724733501915446</v>
      </c>
      <c r="AL391" s="98">
        <f t="shared" si="232"/>
        <v>1.2786803847659369</v>
      </c>
      <c r="AM391" s="98" t="str">
        <f t="shared" si="217"/>
        <v>1+229.450379886045i</v>
      </c>
      <c r="AN391" s="98">
        <f t="shared" si="233"/>
        <v>229.45255899608173</v>
      </c>
      <c r="AO391" s="98">
        <f t="shared" si="234"/>
        <v>1.5664381136197956</v>
      </c>
      <c r="AP391" s="168" t="str">
        <f t="shared" si="235"/>
        <v>-0.0295038814353664+0.0996845466141486i</v>
      </c>
      <c r="AQ391" s="98">
        <f t="shared" si="236"/>
        <v>-19.662752438993678</v>
      </c>
      <c r="AR391" s="169">
        <f t="shared" si="237"/>
        <v>106.48730338559598</v>
      </c>
      <c r="AS391" s="168" t="str">
        <f t="shared" si="238"/>
        <v>0.0118253832497427-0.00503561257173155i</v>
      </c>
      <c r="AT391" s="190">
        <f t="shared" si="239"/>
        <v>-37.819976256516256</v>
      </c>
      <c r="AU391" s="169">
        <f t="shared" si="240"/>
        <v>-23.065799370498144</v>
      </c>
      <c r="AV391" s="225"/>
      <c r="AX391">
        <f t="shared" si="241"/>
        <v>0</v>
      </c>
      <c r="AY391">
        <f t="shared" si="242"/>
        <v>0</v>
      </c>
    </row>
    <row r="392" spans="14:51" x14ac:dyDescent="0.3">
      <c r="N392" s="170">
        <v>74</v>
      </c>
      <c r="O392" s="199">
        <f t="shared" si="243"/>
        <v>54954.087385762505</v>
      </c>
      <c r="P392" s="189" t="str">
        <f t="shared" si="209"/>
        <v>108.75</v>
      </c>
      <c r="Q392" s="160" t="str">
        <f t="shared" si="210"/>
        <v>1+876.337681227618i</v>
      </c>
      <c r="R392" s="160">
        <f t="shared" si="218"/>
        <v>876.33825178374946</v>
      </c>
      <c r="S392" s="160">
        <f t="shared" si="219"/>
        <v>1.5696552146558482</v>
      </c>
      <c r="T392" s="160" t="str">
        <f t="shared" si="211"/>
        <v>1+0.0324569511565786i</v>
      </c>
      <c r="U392" s="160">
        <f t="shared" si="220"/>
        <v>1.0005265881916285</v>
      </c>
      <c r="V392" s="160">
        <f t="shared" si="221"/>
        <v>3.2445561056882781E-2</v>
      </c>
      <c r="W392" s="98" t="str">
        <f t="shared" si="212"/>
        <v>1-0.257814080108993i</v>
      </c>
      <c r="X392" s="160">
        <f t="shared" si="222"/>
        <v>1.0326994237930252</v>
      </c>
      <c r="Y392" s="160">
        <f t="shared" si="223"/>
        <v>-0.25231946251498849</v>
      </c>
      <c r="Z392" s="98" t="str">
        <f t="shared" si="213"/>
        <v>0.938998576535245+0.497298795313142i</v>
      </c>
      <c r="AA392" s="160">
        <f t="shared" si="224"/>
        <v>1.062555607276682</v>
      </c>
      <c r="AB392" s="160">
        <f t="shared" si="225"/>
        <v>0.48705052992632836</v>
      </c>
      <c r="AC392" s="171" t="str">
        <f t="shared" si="226"/>
        <v>-0.0782718455445722-0.0918443049277599i</v>
      </c>
      <c r="AD392" s="190">
        <f t="shared" si="227"/>
        <v>-18.367832037359996</v>
      </c>
      <c r="AE392" s="169">
        <f t="shared" si="228"/>
        <v>-130.43840544349501</v>
      </c>
      <c r="AF392" s="98" t="str">
        <f t="shared" si="214"/>
        <v>-0.0000366300366300366</v>
      </c>
      <c r="AG392" s="98" t="str">
        <f t="shared" si="215"/>
        <v>0.0238247832957863i</v>
      </c>
      <c r="AH392" s="98">
        <f t="shared" si="229"/>
        <v>2.38247832957863E-2</v>
      </c>
      <c r="AI392" s="98">
        <f t="shared" si="230"/>
        <v>1.5707963267948966</v>
      </c>
      <c r="AJ392" s="98" t="str">
        <f t="shared" si="216"/>
        <v>1+3.40282559150068i</v>
      </c>
      <c r="AK392" s="98">
        <f t="shared" si="231"/>
        <v>3.546719893954406</v>
      </c>
      <c r="AL392" s="98">
        <f t="shared" si="232"/>
        <v>1.2849696806062365</v>
      </c>
      <c r="AM392" s="98" t="str">
        <f t="shared" si="217"/>
        <v>1+234.794965813546i</v>
      </c>
      <c r="AN392" s="98">
        <f t="shared" si="233"/>
        <v>234.79709532143758</v>
      </c>
      <c r="AO392" s="98">
        <f t="shared" si="234"/>
        <v>1.5665373174496966</v>
      </c>
      <c r="AP392" s="168" t="str">
        <f t="shared" si="235"/>
        <v>-0.0282815504726087+0.0977746598879179i</v>
      </c>
      <c r="AQ392" s="98">
        <f t="shared" si="236"/>
        <v>-19.846515542806017</v>
      </c>
      <c r="AR392" s="169">
        <f t="shared" si="237"/>
        <v>106.13263723860257</v>
      </c>
      <c r="AS392" s="168" t="str">
        <f t="shared" si="238"/>
        <v>0.011193694827307-0.00505550373148408i</v>
      </c>
      <c r="AT392" s="190">
        <f t="shared" si="239"/>
        <v>-38.214347580166013</v>
      </c>
      <c r="AU392" s="169">
        <f t="shared" si="240"/>
        <v>-24.305768204892445</v>
      </c>
      <c r="AV392" s="225"/>
      <c r="AX392">
        <f t="shared" si="241"/>
        <v>0</v>
      </c>
      <c r="AY392">
        <f t="shared" si="242"/>
        <v>0</v>
      </c>
    </row>
    <row r="393" spans="14:51" x14ac:dyDescent="0.3">
      <c r="N393" s="170">
        <v>75</v>
      </c>
      <c r="O393" s="199">
        <f t="shared" si="243"/>
        <v>56234.132519034953</v>
      </c>
      <c r="P393" s="189" t="str">
        <f t="shared" si="209"/>
        <v>108.75</v>
      </c>
      <c r="Q393" s="160" t="str">
        <f t="shared" si="210"/>
        <v>1+896.750208071787i</v>
      </c>
      <c r="R393" s="160">
        <f t="shared" si="218"/>
        <v>896.75076564048356</v>
      </c>
      <c r="S393" s="160">
        <f t="shared" si="219"/>
        <v>1.5696811895175495</v>
      </c>
      <c r="T393" s="160" t="str">
        <f t="shared" si="211"/>
        <v>1+0.0332129706693255i</v>
      </c>
      <c r="U393" s="160">
        <f t="shared" si="220"/>
        <v>1.0005513986900831</v>
      </c>
      <c r="V393" s="160">
        <f t="shared" si="221"/>
        <v>3.3200766320844767E-2</v>
      </c>
      <c r="W393" s="98" t="str">
        <f t="shared" si="212"/>
        <v>1-0.263819341486841i</v>
      </c>
      <c r="X393" s="160">
        <f t="shared" si="222"/>
        <v>1.0342149897108195</v>
      </c>
      <c r="Y393" s="160">
        <f t="shared" si="223"/>
        <v>-0.2579422211393681</v>
      </c>
      <c r="Z393" s="98" t="str">
        <f t="shared" si="213"/>
        <v>0.936123668018313+0.5088823723136i</v>
      </c>
      <c r="AA393" s="160">
        <f t="shared" si="224"/>
        <v>1.0654993151924492</v>
      </c>
      <c r="AB393" s="160">
        <f t="shared" si="225"/>
        <v>0.49792088149805458</v>
      </c>
      <c r="AC393" s="171" t="str">
        <f t="shared" si="226"/>
        <v>-0.0777961921033192-0.0884239557016861i</v>
      </c>
      <c r="AD393" s="190">
        <f t="shared" si="227"/>
        <v>-18.578908679434626</v>
      </c>
      <c r="AE393" s="169">
        <f t="shared" si="228"/>
        <v>-131.34160922443385</v>
      </c>
      <c r="AF393" s="98" t="str">
        <f t="shared" si="214"/>
        <v>-0.0000366300366300366</v>
      </c>
      <c r="AG393" s="98" t="str">
        <f t="shared" si="215"/>
        <v>0.0243797337891857i</v>
      </c>
      <c r="AH393" s="98">
        <f t="shared" si="229"/>
        <v>2.43797337891857E-2</v>
      </c>
      <c r="AI393" s="98">
        <f t="shared" si="230"/>
        <v>1.5707963267948966</v>
      </c>
      <c r="AJ393" s="98" t="str">
        <f t="shared" si="216"/>
        <v>1+3.48208758173625i</v>
      </c>
      <c r="AK393" s="98">
        <f t="shared" si="231"/>
        <v>3.6228350675792305</v>
      </c>
      <c r="AL393" s="98">
        <f t="shared" si="232"/>
        <v>1.2911383610575784</v>
      </c>
      <c r="AM393" s="98" t="str">
        <f t="shared" si="217"/>
        <v>1+240.264043139801i</v>
      </c>
      <c r="AN393" s="98">
        <f t="shared" si="233"/>
        <v>240.26612417459967</v>
      </c>
      <c r="AO393" s="98">
        <f t="shared" si="234"/>
        <v>1.5666342632057406</v>
      </c>
      <c r="AP393" s="168" t="str">
        <f t="shared" si="235"/>
        <v>-0.0271056528021869+0.0958867359593582i</v>
      </c>
      <c r="AQ393" s="98">
        <f t="shared" si="236"/>
        <v>-20.030952527092193</v>
      </c>
      <c r="AR393" s="169">
        <f t="shared" si="237"/>
        <v>105.78475246623883</v>
      </c>
      <c r="AS393" s="168" t="str">
        <f t="shared" si="238"/>
        <v>0.0105874010653344-0.00506283388820862i</v>
      </c>
      <c r="AT393" s="190">
        <f t="shared" si="239"/>
        <v>-38.609861206526794</v>
      </c>
      <c r="AU393" s="169">
        <f t="shared" si="240"/>
        <v>-25.556856758194961</v>
      </c>
      <c r="AV393" s="225"/>
      <c r="AX393">
        <f t="shared" si="241"/>
        <v>0</v>
      </c>
      <c r="AY393">
        <f t="shared" si="242"/>
        <v>0</v>
      </c>
    </row>
    <row r="394" spans="14:51" x14ac:dyDescent="0.3">
      <c r="N394" s="170">
        <v>76</v>
      </c>
      <c r="O394" s="199">
        <f t="shared" si="243"/>
        <v>57543.993733715732</v>
      </c>
      <c r="P394" s="189" t="str">
        <f t="shared" si="209"/>
        <v>108.75</v>
      </c>
      <c r="Q394" s="160" t="str">
        <f t="shared" si="210"/>
        <v>1+917.638203746168i</v>
      </c>
      <c r="R394" s="160">
        <f t="shared" si="218"/>
        <v>917.63874862305897</v>
      </c>
      <c r="S394" s="160">
        <f t="shared" si="219"/>
        <v>1.5697065731206672</v>
      </c>
      <c r="T394" s="160" t="str">
        <f t="shared" si="211"/>
        <v>1+0.0339866001387471i</v>
      </c>
      <c r="U394" s="160">
        <f t="shared" si="220"/>
        <v>1.0005773778119267</v>
      </c>
      <c r="V394" s="160">
        <f t="shared" si="221"/>
        <v>3.3973523351265515E-2</v>
      </c>
      <c r="W394" s="98" t="str">
        <f t="shared" si="212"/>
        <v>1-0.269964483371608i</v>
      </c>
      <c r="X394" s="160">
        <f t="shared" si="222"/>
        <v>1.035799605272226</v>
      </c>
      <c r="Y394" s="160">
        <f t="shared" si="223"/>
        <v>-0.26367873077522491</v>
      </c>
      <c r="Z394" s="98" t="str">
        <f t="shared" si="213"/>
        <v>0.933113269237199+0.520735765483712i</v>
      </c>
      <c r="AA394" s="160">
        <f t="shared" si="224"/>
        <v>1.068581354263886</v>
      </c>
      <c r="AB394" s="160">
        <f t="shared" si="225"/>
        <v>0.50901234687197261</v>
      </c>
      <c r="AC394" s="171" t="str">
        <f t="shared" si="226"/>
        <v>-0.0773020014556011-0.0850641991228007i</v>
      </c>
      <c r="AD394" s="190">
        <f t="shared" si="227"/>
        <v>-18.790472988708199</v>
      </c>
      <c r="AE394" s="169">
        <f t="shared" si="228"/>
        <v>-132.26295982714083</v>
      </c>
      <c r="AF394" s="98" t="str">
        <f t="shared" si="214"/>
        <v>-0.0000366300366300366</v>
      </c>
      <c r="AG394" s="98" t="str">
        <f t="shared" si="215"/>
        <v>0.0249476107401441i</v>
      </c>
      <c r="AH394" s="98">
        <f t="shared" si="229"/>
        <v>2.4947610740144101E-2</v>
      </c>
      <c r="AI394" s="98">
        <f t="shared" si="230"/>
        <v>1.5707963267948966</v>
      </c>
      <c r="AJ394" s="98" t="str">
        <f t="shared" si="216"/>
        <v>1+3.56319582089855i</v>
      </c>
      <c r="AK394" s="98">
        <f t="shared" si="231"/>
        <v>3.7008599619640958</v>
      </c>
      <c r="AL394" s="98">
        <f t="shared" si="232"/>
        <v>1.2971878182391465</v>
      </c>
      <c r="AM394" s="98" t="str">
        <f t="shared" si="217"/>
        <v>1+245.860511641999i</v>
      </c>
      <c r="AN394" s="98">
        <f t="shared" si="233"/>
        <v>245.86254530705875</v>
      </c>
      <c r="AO394" s="98">
        <f t="shared" si="234"/>
        <v>1.5667290022825577</v>
      </c>
      <c r="AP394" s="168" t="str">
        <f t="shared" si="235"/>
        <v>-0.0259747689368848+0.0940214664705468i</v>
      </c>
      <c r="AQ394" s="98">
        <f t="shared" si="236"/>
        <v>-20.216037695278221</v>
      </c>
      <c r="AR394" s="169">
        <f t="shared" si="237"/>
        <v>105.44357225064644</v>
      </c>
      <c r="AS394" s="168" t="str">
        <f t="shared" si="238"/>
        <v>0.0100057623718363-0.00505852462094805i</v>
      </c>
      <c r="AT394" s="190">
        <f t="shared" si="239"/>
        <v>-39.006510683986413</v>
      </c>
      <c r="AU394" s="169">
        <f t="shared" si="240"/>
        <v>-26.819387576494389</v>
      </c>
      <c r="AV394" s="225"/>
      <c r="AX394">
        <f t="shared" si="241"/>
        <v>0</v>
      </c>
      <c r="AY394">
        <f t="shared" si="242"/>
        <v>0</v>
      </c>
    </row>
    <row r="395" spans="14:51" x14ac:dyDescent="0.3">
      <c r="N395" s="170">
        <v>77</v>
      </c>
      <c r="O395" s="199">
        <f t="shared" si="243"/>
        <v>58884.365535558936</v>
      </c>
      <c r="P395" s="189" t="str">
        <f t="shared" si="209"/>
        <v>108.75</v>
      </c>
      <c r="Q395" s="160" t="str">
        <f t="shared" si="210"/>
        <v>1+939.012743342553i</v>
      </c>
      <c r="R395" s="160">
        <f t="shared" si="218"/>
        <v>939.01327581653891</v>
      </c>
      <c r="S395" s="160">
        <f t="shared" si="219"/>
        <v>1.5697313789237928</v>
      </c>
      <c r="T395" s="160" t="str">
        <f t="shared" si="211"/>
        <v>1+0.034778249753428i</v>
      </c>
      <c r="U395" s="160">
        <f t="shared" si="220"/>
        <v>1.0006045805691237</v>
      </c>
      <c r="V395" s="160">
        <f t="shared" si="221"/>
        <v>3.4764238180404999E-2</v>
      </c>
      <c r="W395" s="98" t="str">
        <f t="shared" si="212"/>
        <v>1-0.276252763998861i</v>
      </c>
      <c r="X395" s="160">
        <f t="shared" si="222"/>
        <v>1.0374563073291379</v>
      </c>
      <c r="Y395" s="160">
        <f t="shared" si="223"/>
        <v>-0.26953052218146889</v>
      </c>
      <c r="Z395" s="98" t="str">
        <f t="shared" si="213"/>
        <v>0.929960994732477+0.532865259649437i</v>
      </c>
      <c r="AA395" s="160">
        <f t="shared" si="224"/>
        <v>1.0718082088998386</v>
      </c>
      <c r="AB395" s="160">
        <f t="shared" si="225"/>
        <v>0.52032799269412633</v>
      </c>
      <c r="AC395" s="171" t="str">
        <f t="shared" si="226"/>
        <v>-0.0767887986136265-0.0817640486457884i</v>
      </c>
      <c r="AD395" s="190">
        <f t="shared" si="227"/>
        <v>-19.002544873392303</v>
      </c>
      <c r="AE395" s="169">
        <f t="shared" si="228"/>
        <v>-133.20269817070229</v>
      </c>
      <c r="AF395" s="98" t="str">
        <f t="shared" si="214"/>
        <v>-0.0000366300366300366</v>
      </c>
      <c r="AG395" s="98" t="str">
        <f t="shared" si="215"/>
        <v>0.0255287152445375i</v>
      </c>
      <c r="AH395" s="98">
        <f t="shared" si="229"/>
        <v>2.5528715244537498E-2</v>
      </c>
      <c r="AI395" s="98">
        <f t="shared" si="230"/>
        <v>1.5707963267948966</v>
      </c>
      <c r="AJ395" s="98" t="str">
        <f t="shared" si="216"/>
        <v>1+3.64619331364955i</v>
      </c>
      <c r="AK395" s="98">
        <f t="shared" si="231"/>
        <v>3.7808366376375857</v>
      </c>
      <c r="AL395" s="98">
        <f t="shared" si="232"/>
        <v>1.3031194878758299</v>
      </c>
      <c r="AM395" s="98" t="str">
        <f t="shared" si="217"/>
        <v>1+251.587338641818i</v>
      </c>
      <c r="AN395" s="98">
        <f t="shared" si="233"/>
        <v>251.5893260153793</v>
      </c>
      <c r="AO395" s="98">
        <f t="shared" si="234"/>
        <v>1.5668215849052536</v>
      </c>
      <c r="AP395" s="168" t="str">
        <f t="shared" si="235"/>
        <v>-0.0248874941726891+0.092179471096223i</v>
      </c>
      <c r="AQ395" s="98">
        <f t="shared" si="236"/>
        <v>-20.401746144424799</v>
      </c>
      <c r="AR395" s="169">
        <f t="shared" si="237"/>
        <v>105.10901720853531</v>
      </c>
      <c r="AS395" s="168" t="str">
        <f t="shared" si="238"/>
        <v>0.00944804753687905-0.00504344855811095i</v>
      </c>
      <c r="AT395" s="190">
        <f t="shared" si="239"/>
        <v>-39.404291017817101</v>
      </c>
      <c r="AU395" s="169">
        <f t="shared" si="240"/>
        <v>-28.093680962167017</v>
      </c>
      <c r="AV395" s="225"/>
      <c r="AX395">
        <f t="shared" si="241"/>
        <v>0</v>
      </c>
      <c r="AY395">
        <f t="shared" si="242"/>
        <v>0</v>
      </c>
    </row>
    <row r="396" spans="14:51" x14ac:dyDescent="0.3">
      <c r="N396" s="170">
        <v>78</v>
      </c>
      <c r="O396" s="199">
        <f t="shared" si="243"/>
        <v>60255.95860743591</v>
      </c>
      <c r="P396" s="189" t="str">
        <f t="shared" si="209"/>
        <v>108.75</v>
      </c>
      <c r="Q396" s="160" t="str">
        <f t="shared" si="210"/>
        <v>1+960.885159924763i</v>
      </c>
      <c r="R396" s="160">
        <f t="shared" si="218"/>
        <v>960.8856802781678</v>
      </c>
      <c r="S396" s="160">
        <f t="shared" si="219"/>
        <v>1.5697556200791691</v>
      </c>
      <c r="T396" s="160" t="str">
        <f t="shared" si="211"/>
        <v>1+0.0355883392564728i</v>
      </c>
      <c r="U396" s="160">
        <f t="shared" si="220"/>
        <v>1.0006330645601482</v>
      </c>
      <c r="V396" s="160">
        <f t="shared" si="221"/>
        <v>3.5573326098443672E-2</v>
      </c>
      <c r="W396" s="98" t="str">
        <f t="shared" si="212"/>
        <v>1-0.282687517498224i</v>
      </c>
      <c r="X396" s="160">
        <f t="shared" si="222"/>
        <v>1.0391882565489801</v>
      </c>
      <c r="Y396" s="160">
        <f t="shared" si="223"/>
        <v>-0.27549909432426234</v>
      </c>
      <c r="Z396" s="98" t="str">
        <f t="shared" si="213"/>
        <v>0.926660158107289+0.545277286029135i</v>
      </c>
      <c r="AA396" s="160">
        <f t="shared" si="224"/>
        <v>1.0751866662504355</v>
      </c>
      <c r="AB396" s="160">
        <f t="shared" si="225"/>
        <v>0.53187083147899983</v>
      </c>
      <c r="AC396" s="171" t="str">
        <f t="shared" si="226"/>
        <v>-0.076256113250579-0.078522586806941i</v>
      </c>
      <c r="AD396" s="190">
        <f t="shared" si="227"/>
        <v>-19.215144916558138</v>
      </c>
      <c r="AE396" s="169">
        <f t="shared" si="228"/>
        <v>-134.16105970311185</v>
      </c>
      <c r="AF396" s="98" t="str">
        <f t="shared" si="214"/>
        <v>-0.0000366300366300366</v>
      </c>
      <c r="AG396" s="98" t="str">
        <f t="shared" si="215"/>
        <v>0.0261233554116661i</v>
      </c>
      <c r="AH396" s="98">
        <f t="shared" si="229"/>
        <v>2.6123355411666101E-2</v>
      </c>
      <c r="AI396" s="98">
        <f t="shared" si="230"/>
        <v>1.5707963267948966</v>
      </c>
      <c r="AJ396" s="98" t="str">
        <f t="shared" si="216"/>
        <v>1+3.73112406635854i</v>
      </c>
      <c r="AK396" s="98">
        <f t="shared" si="231"/>
        <v>3.8628081493338349</v>
      </c>
      <c r="AL396" s="98">
        <f t="shared" si="232"/>
        <v>1.3089348447197702</v>
      </c>
      <c r="AM396" s="98" t="str">
        <f t="shared" si="217"/>
        <v>1+257.447560578738i</v>
      </c>
      <c r="AN396" s="98">
        <f t="shared" si="233"/>
        <v>257.44950271449926</v>
      </c>
      <c r="AO396" s="98">
        <f t="shared" si="234"/>
        <v>1.5669120601560083</v>
      </c>
      <c r="AP396" s="168" t="str">
        <f t="shared" si="235"/>
        <v>-0.0238424411296777+0.090361300834164i</v>
      </c>
      <c r="AQ396" s="98">
        <f t="shared" si="236"/>
        <v>-20.588053756204477</v>
      </c>
      <c r="AR396" s="169">
        <f t="shared" si="237"/>
        <v>104.78100565503362</v>
      </c>
      <c r="AS396" s="168" t="str">
        <f t="shared" si="238"/>
        <v>0.00891353497969372-0.00501843143658515i</v>
      </c>
      <c r="AT396" s="190">
        <f t="shared" si="239"/>
        <v>-39.803198672762612</v>
      </c>
      <c r="AU396" s="169">
        <f t="shared" si="240"/>
        <v>-29.380054048078222</v>
      </c>
      <c r="AV396" s="225"/>
      <c r="AX396">
        <f t="shared" si="241"/>
        <v>0</v>
      </c>
      <c r="AY396">
        <f t="shared" si="242"/>
        <v>0</v>
      </c>
    </row>
    <row r="397" spans="14:51" x14ac:dyDescent="0.3">
      <c r="N397" s="170">
        <v>79</v>
      </c>
      <c r="O397" s="199">
        <f t="shared" si="243"/>
        <v>61659.500186148245</v>
      </c>
      <c r="P397" s="189" t="str">
        <f t="shared" si="209"/>
        <v>108.75</v>
      </c>
      <c r="Q397" s="160" t="str">
        <f t="shared" si="210"/>
        <v>1+983.26705053758i</v>
      </c>
      <c r="R397" s="160">
        <f t="shared" si="218"/>
        <v>983.26755904630147</v>
      </c>
      <c r="S397" s="160">
        <f t="shared" si="219"/>
        <v>1.5697793094396639</v>
      </c>
      <c r="T397" s="160" t="str">
        <f t="shared" si="211"/>
        <v>1+0.0364172981680586i</v>
      </c>
      <c r="U397" s="160">
        <f t="shared" si="220"/>
        <v>1.0006628900912939</v>
      </c>
      <c r="V397" s="160">
        <f t="shared" si="221"/>
        <v>3.6401211854902464E-2</v>
      </c>
      <c r="W397" s="98" t="str">
        <f t="shared" si="212"/>
        <v>1-0.289272155661175i</v>
      </c>
      <c r="X397" s="160">
        <f t="shared" si="222"/>
        <v>1.0409987416134869</v>
      </c>
      <c r="Y397" s="160">
        <f t="shared" si="223"/>
        <v>-0.28158591015722556</v>
      </c>
      <c r="Z397" s="98" t="str">
        <f t="shared" si="213"/>
        <v>0.923203757844603+0.557978425643481i</v>
      </c>
      <c r="AA397" s="160">
        <f t="shared" si="224"/>
        <v>1.0787238302651767</v>
      </c>
      <c r="AB397" s="160">
        <f t="shared" si="225"/>
        <v>0.54364381386476734</v>
      </c>
      <c r="AC397" s="171" t="str">
        <f t="shared" si="226"/>
        <v>-0.0757034817482691-0.0753389655576085i</v>
      </c>
      <c r="AD397" s="190">
        <f t="shared" si="227"/>
        <v>-19.428294386889679</v>
      </c>
      <c r="AE397" s="169">
        <f t="shared" si="228"/>
        <v>-135.13827370461195</v>
      </c>
      <c r="AF397" s="98" t="str">
        <f t="shared" si="214"/>
        <v>-0.0000366300366300366</v>
      </c>
      <c r="AG397" s="98" t="str">
        <f t="shared" si="215"/>
        <v>0.0267318465276174i</v>
      </c>
      <c r="AH397" s="98">
        <f t="shared" si="229"/>
        <v>2.6731846527617401E-2</v>
      </c>
      <c r="AI397" s="98">
        <f t="shared" si="230"/>
        <v>1.5707963267948966</v>
      </c>
      <c r="AJ397" s="98" t="str">
        <f t="shared" si="216"/>
        <v>1+3.81803311043476i</v>
      </c>
      <c r="AK397" s="98">
        <f t="shared" si="231"/>
        <v>3.9468185709981811</v>
      </c>
      <c r="AL397" s="98">
        <f t="shared" si="232"/>
        <v>1.3146353981851366</v>
      </c>
      <c r="AM397" s="98" t="str">
        <f t="shared" si="217"/>
        <v>1+263.444284619997i</v>
      </c>
      <c r="AN397" s="98">
        <f t="shared" si="233"/>
        <v>263.44618254767329</v>
      </c>
      <c r="AO397" s="98">
        <f t="shared" si="234"/>
        <v>1.5670004760000689</v>
      </c>
      <c r="AP397" s="168" t="str">
        <f t="shared" si="235"/>
        <v>-0.0228382420160938+0.0885674412825849i</v>
      </c>
      <c r="AQ397" s="98">
        <f t="shared" si="236"/>
        <v>-20.774937186527925</v>
      </c>
      <c r="AR397" s="169">
        <f t="shared" si="237"/>
        <v>104.45945385528618</v>
      </c>
      <c r="AS397" s="168" t="str">
        <f t="shared" si="238"/>
        <v>0.00840151384594209-0.00498425414598024i</v>
      </c>
      <c r="AT397" s="190">
        <f t="shared" si="239"/>
        <v>-40.203231573417597</v>
      </c>
      <c r="AU397" s="169">
        <f t="shared" si="240"/>
        <v>-30.678819849325734</v>
      </c>
      <c r="AV397" s="225"/>
      <c r="AX397">
        <f t="shared" si="241"/>
        <v>0</v>
      </c>
      <c r="AY397">
        <f t="shared" si="242"/>
        <v>0</v>
      </c>
    </row>
    <row r="398" spans="14:51" x14ac:dyDescent="0.3">
      <c r="N398" s="170">
        <v>80</v>
      </c>
      <c r="O398" s="199">
        <f t="shared" si="243"/>
        <v>63095.734448019342</v>
      </c>
      <c r="P398" s="189" t="str">
        <f t="shared" si="209"/>
        <v>108.75</v>
      </c>
      <c r="Q398" s="160" t="str">
        <f t="shared" si="210"/>
        <v>1+1006.17028235567i</v>
      </c>
      <c r="R398" s="160">
        <f t="shared" si="218"/>
        <v>1006.1707792893257</v>
      </c>
      <c r="S398" s="160">
        <f t="shared" si="219"/>
        <v>1.5698024595655828</v>
      </c>
      <c r="T398" s="160" t="str">
        <f t="shared" si="211"/>
        <v>1+0.0372655660131731i</v>
      </c>
      <c r="U398" s="160">
        <f t="shared" si="220"/>
        <v>1.0006941203036432</v>
      </c>
      <c r="V398" s="160">
        <f t="shared" si="221"/>
        <v>3.7248329863746751E-2</v>
      </c>
      <c r="W398" s="98" t="str">
        <f t="shared" si="212"/>
        <v>1-0.296010169750028i</v>
      </c>
      <c r="X398" s="160">
        <f t="shared" si="222"/>
        <v>1.0428911834872516</v>
      </c>
      <c r="Y398" s="160">
        <f t="shared" si="223"/>
        <v>-0.28779239218923142</v>
      </c>
      <c r="Z398" s="98" t="str">
        <f t="shared" si="213"/>
        <v>0.919584462456055+0.570975412804821i</v>
      </c>
      <c r="AA398" s="160">
        <f t="shared" si="224"/>
        <v>1.0824271364014426</v>
      </c>
      <c r="AB398" s="160">
        <f t="shared" si="225"/>
        <v>0.5556498204725675</v>
      </c>
      <c r="AC398" s="171" t="str">
        <f t="shared" si="226"/>
        <v>-0.0751304494016285-0.072212406538646i</v>
      </c>
      <c r="AD398" s="190">
        <f t="shared" si="227"/>
        <v>-19.642015248462513</v>
      </c>
      <c r="AE398" s="169">
        <f t="shared" si="228"/>
        <v>-136.1345625559569</v>
      </c>
      <c r="AF398" s="98" t="str">
        <f t="shared" si="214"/>
        <v>-0.0000366300366300366</v>
      </c>
      <c r="AG398" s="98" t="str">
        <f t="shared" si="215"/>
        <v>0.0273545112224355i</v>
      </c>
      <c r="AH398" s="98">
        <f t="shared" si="229"/>
        <v>2.7354511222435499E-2</v>
      </c>
      <c r="AI398" s="98">
        <f t="shared" si="230"/>
        <v>1.5707963267948966</v>
      </c>
      <c r="AJ398" s="98" t="str">
        <f t="shared" si="216"/>
        <v>1+3.90696652620377i</v>
      </c>
      <c r="AK398" s="98">
        <f t="shared" si="231"/>
        <v>4.0329130212387119</v>
      </c>
      <c r="AL398" s="98">
        <f t="shared" si="232"/>
        <v>1.3202226881947989</v>
      </c>
      <c r="AM398" s="98" t="str">
        <f t="shared" si="217"/>
        <v>1+269.58069030806i</v>
      </c>
      <c r="AN398" s="98">
        <f t="shared" si="233"/>
        <v>269.58254503392862</v>
      </c>
      <c r="AO398" s="98">
        <f t="shared" si="234"/>
        <v>1.5670868793111536</v>
      </c>
      <c r="AP398" s="168" t="str">
        <f t="shared" si="235"/>
        <v>-0.0218735506304452+0.0867983158889648i</v>
      </c>
      <c r="AQ398" s="98">
        <f t="shared" si="236"/>
        <v>-20.962373853970888</v>
      </c>
      <c r="AR398" s="169">
        <f t="shared" si="237"/>
        <v>104.14427626387803</v>
      </c>
      <c r="AS398" s="168" t="str">
        <f t="shared" si="238"/>
        <v>0.00791128496271836-0.00494165474947307i</v>
      </c>
      <c r="AT398" s="190">
        <f t="shared" si="239"/>
        <v>-40.604389102433409</v>
      </c>
      <c r="AU398" s="169">
        <f t="shared" si="240"/>
        <v>-31.990286292078885</v>
      </c>
      <c r="AV398" s="225"/>
      <c r="AX398">
        <f t="shared" si="241"/>
        <v>0</v>
      </c>
      <c r="AY398">
        <f t="shared" si="242"/>
        <v>0</v>
      </c>
    </row>
    <row r="399" spans="14:51" x14ac:dyDescent="0.3">
      <c r="N399" s="170">
        <v>81</v>
      </c>
      <c r="O399" s="199">
        <f t="shared" si="243"/>
        <v>64565.422903465682</v>
      </c>
      <c r="P399" s="189" t="str">
        <f t="shared" si="209"/>
        <v>108.75</v>
      </c>
      <c r="Q399" s="160" t="str">
        <f t="shared" si="210"/>
        <v>1+1029.60699897571i</v>
      </c>
      <c r="R399" s="160">
        <f t="shared" si="218"/>
        <v>1029.6074845977801</v>
      </c>
      <c r="S399" s="160">
        <f t="shared" si="219"/>
        <v>1.5698250827313303</v>
      </c>
      <c r="T399" s="160" t="str">
        <f t="shared" si="211"/>
        <v>1+0.0381335925546559i</v>
      </c>
      <c r="U399" s="160">
        <f t="shared" si="220"/>
        <v>1.0007268213059568</v>
      </c>
      <c r="V399" s="160">
        <f t="shared" si="221"/>
        <v>3.8115124412185758E-2</v>
      </c>
      <c r="W399" s="98" t="str">
        <f t="shared" si="212"/>
        <v>1-0.30290513234904i</v>
      </c>
      <c r="X399" s="160">
        <f t="shared" si="222"/>
        <v>1.0448691397507104</v>
      </c>
      <c r="Y399" s="160">
        <f t="shared" si="223"/>
        <v>-0.29411991783872715</v>
      </c>
      <c r="Z399" s="98" t="str">
        <f t="shared" si="213"/>
        <v>0.915794594930875+0.584275138687785i</v>
      </c>
      <c r="AA399" s="160">
        <f t="shared" si="224"/>
        <v>1.0863043670137922</v>
      </c>
      <c r="AB399" s="160">
        <f t="shared" si="225"/>
        <v>0.5678916533670888</v>
      </c>
      <c r="AC399" s="171" t="str">
        <f t="shared" si="226"/>
        <v>-0.0745365727828409-0.0691422012800842i</v>
      </c>
      <c r="AD399" s="190">
        <f t="shared" si="227"/>
        <v>-19.856330169423138</v>
      </c>
      <c r="AE399" s="169">
        <f t="shared" si="228"/>
        <v>-137.1501409713803</v>
      </c>
      <c r="AF399" s="98" t="str">
        <f t="shared" si="214"/>
        <v>-0.0000366300366300366</v>
      </c>
      <c r="AG399" s="98" t="str">
        <f t="shared" si="215"/>
        <v>0.0279916796411835i</v>
      </c>
      <c r="AH399" s="98">
        <f t="shared" si="229"/>
        <v>2.7991679641183501E-2</v>
      </c>
      <c r="AI399" s="98">
        <f t="shared" si="230"/>
        <v>1.5707963267948966</v>
      </c>
      <c r="AJ399" s="98" t="str">
        <f t="shared" si="216"/>
        <v>1+3.99797146733981i</v>
      </c>
      <c r="AK399" s="98">
        <f t="shared" si="231"/>
        <v>4.121137689238644</v>
      </c>
      <c r="AL399" s="98">
        <f t="shared" si="232"/>
        <v>1.3256982812365503</v>
      </c>
      <c r="AM399" s="98" t="str">
        <f t="shared" si="217"/>
        <v>1+275.860031246446i</v>
      </c>
      <c r="AN399" s="98">
        <f t="shared" si="233"/>
        <v>275.86184375388012</v>
      </c>
      <c r="AO399" s="98">
        <f t="shared" si="234"/>
        <v>1.5671713158962786</v>
      </c>
      <c r="AP399" s="168" t="str">
        <f t="shared" si="235"/>
        <v>-0.0209470441166338+0.0850542891565754i</v>
      </c>
      <c r="AQ399" s="98">
        <f t="shared" si="236"/>
        <v>-21.15034192714586</v>
      </c>
      <c r="AR399" s="169">
        <f t="shared" si="237"/>
        <v>103.83538575221873</v>
      </c>
      <c r="AS399" s="168" t="str">
        <f t="shared" si="238"/>
        <v>0.00744216165898327-0.00489133047367678i</v>
      </c>
      <c r="AT399" s="190">
        <f t="shared" si="239"/>
        <v>-41.006672096569005</v>
      </c>
      <c r="AU399" s="169">
        <f t="shared" si="240"/>
        <v>-33.314755219161562</v>
      </c>
      <c r="AV399" s="225"/>
      <c r="AX399">
        <f t="shared" si="241"/>
        <v>0</v>
      </c>
      <c r="AY399">
        <f t="shared" si="242"/>
        <v>0</v>
      </c>
    </row>
    <row r="400" spans="14:51" x14ac:dyDescent="0.3">
      <c r="N400" s="170">
        <v>82</v>
      </c>
      <c r="O400" s="199">
        <f t="shared" si="243"/>
        <v>66069.344800759733</v>
      </c>
      <c r="P400" s="189" t="str">
        <f t="shared" si="209"/>
        <v>108.75</v>
      </c>
      <c r="Q400" s="160" t="str">
        <f t="shared" si="210"/>
        <v>1+1053.58962685506i</v>
      </c>
      <c r="R400" s="160">
        <f t="shared" si="218"/>
        <v>1053.5901014230271</v>
      </c>
      <c r="S400" s="160">
        <f t="shared" si="219"/>
        <v>1.5698471909319149</v>
      </c>
      <c r="T400" s="160" t="str">
        <f t="shared" si="211"/>
        <v>1+0.039021838031669i</v>
      </c>
      <c r="U400" s="160">
        <f t="shared" si="220"/>
        <v>1.0007610623137622</v>
      </c>
      <c r="V400" s="160">
        <f t="shared" si="221"/>
        <v>3.900204987317956E-2</v>
      </c>
      <c r="W400" s="98" t="str">
        <f t="shared" si="212"/>
        <v>1-0.309960699258648i</v>
      </c>
      <c r="X400" s="160">
        <f t="shared" si="222"/>
        <v>1.0469363089915786</v>
      </c>
      <c r="Y400" s="160">
        <f t="shared" si="223"/>
        <v>-0.30056981457467297</v>
      </c>
      <c r="Z400" s="98" t="str">
        <f t="shared" si="213"/>
        <v>0.91182611645193+0.597884654983077i</v>
      </c>
      <c r="AA400" s="160">
        <f t="shared" si="224"/>
        <v>1.090363667455974</v>
      </c>
      <c r="AB400" s="160">
        <f t="shared" si="225"/>
        <v>0.58037202711774449</v>
      </c>
      <c r="AC400" s="171" t="str">
        <f t="shared" si="226"/>
        <v>-0.0739214222667764-0.0661277113090932i</v>
      </c>
      <c r="AD400" s="190">
        <f t="shared" si="227"/>
        <v>-20.071262529439675</v>
      </c>
      <c r="AE400" s="169">
        <f t="shared" si="228"/>
        <v>-138.18521519623204</v>
      </c>
      <c r="AF400" s="98" t="str">
        <f t="shared" si="214"/>
        <v>-0.0000366300366300366</v>
      </c>
      <c r="AG400" s="98" t="str">
        <f t="shared" si="215"/>
        <v>0.028643689618991i</v>
      </c>
      <c r="AH400" s="98">
        <f t="shared" si="229"/>
        <v>2.8643689618991001E-2</v>
      </c>
      <c r="AI400" s="98">
        <f t="shared" si="230"/>
        <v>1.5707963267948966</v>
      </c>
      <c r="AJ400" s="98" t="str">
        <f t="shared" si="216"/>
        <v>1+4.09109618586723i</v>
      </c>
      <c r="AK400" s="98">
        <f t="shared" si="231"/>
        <v>4.2115398611454928</v>
      </c>
      <c r="AL400" s="98">
        <f t="shared" si="232"/>
        <v>1.3310637666257437</v>
      </c>
      <c r="AM400" s="98" t="str">
        <f t="shared" si="217"/>
        <v>1+282.285636824838i</v>
      </c>
      <c r="AN400" s="98">
        <f t="shared" si="233"/>
        <v>282.28740807482779</v>
      </c>
      <c r="AO400" s="98">
        <f t="shared" si="234"/>
        <v>1.5672538305200199</v>
      </c>
      <c r="AP400" s="168" t="str">
        <f t="shared" si="235"/>
        <v>-0.0200574244871382+0.083335669796793i</v>
      </c>
      <c r="AQ400" s="98">
        <f t="shared" si="236"/>
        <v>-21.338820311151299</v>
      </c>
      <c r="AR400" s="169">
        <f t="shared" si="237"/>
        <v>103.53269382406727</v>
      </c>
      <c r="AS400" s="168" t="str">
        <f t="shared" si="238"/>
        <v>0.00699347045916997-0.00483393966084397i</v>
      </c>
      <c r="AT400" s="190">
        <f t="shared" si="239"/>
        <v>-41.410082840590974</v>
      </c>
      <c r="AU400" s="169">
        <f t="shared" si="240"/>
        <v>-34.652521372164792</v>
      </c>
      <c r="AV400" s="225"/>
      <c r="AX400">
        <f t="shared" si="241"/>
        <v>0</v>
      </c>
      <c r="AY400">
        <f t="shared" si="242"/>
        <v>0</v>
      </c>
    </row>
    <row r="401" spans="14:51" x14ac:dyDescent="0.3">
      <c r="N401" s="170">
        <v>83</v>
      </c>
      <c r="O401" s="199">
        <f t="shared" si="243"/>
        <v>67608.297539198305</v>
      </c>
      <c r="P401" s="189" t="str">
        <f t="shared" si="209"/>
        <v>108.75</v>
      </c>
      <c r="Q401" s="160" t="str">
        <f t="shared" si="210"/>
        <v>1+1078.13088190048i</v>
      </c>
      <c r="R401" s="160">
        <f t="shared" si="218"/>
        <v>1078.1313456659659</v>
      </c>
      <c r="S401" s="160">
        <f t="shared" si="219"/>
        <v>1.5698687958893112</v>
      </c>
      <c r="T401" s="160" t="str">
        <f t="shared" si="211"/>
        <v>1+0.0399307734037215i</v>
      </c>
      <c r="U401" s="160">
        <f t="shared" si="220"/>
        <v>1.0007969157949175</v>
      </c>
      <c r="V401" s="160">
        <f t="shared" si="221"/>
        <v>3.9909570921657214E-2</v>
      </c>
      <c r="W401" s="98" t="str">
        <f t="shared" si="212"/>
        <v>1-0.317180611433816i</v>
      </c>
      <c r="X401" s="160">
        <f t="shared" si="222"/>
        <v>1.0490965352480817</v>
      </c>
      <c r="Y401" s="160">
        <f t="shared" si="223"/>
        <v>-0.30714335484539207</v>
      </c>
      <c r="Z401" s="98" t="str">
        <f t="shared" si="213"/>
        <v>0.9076706093443+0.611811177636379i</v>
      </c>
      <c r="AA401" s="160">
        <f t="shared" si="224"/>
        <v>1.0946135629290668</v>
      </c>
      <c r="AB401" s="160">
        <f t="shared" si="225"/>
        <v>0.59309355946188858</v>
      </c>
      <c r="AC401" s="171" t="str">
        <f t="shared" si="226"/>
        <v>-0.0732845847181232-0.0631683681482533i</v>
      </c>
      <c r="AD401" s="190">
        <f t="shared" si="227"/>
        <v>-20.286836425785136</v>
      </c>
      <c r="AE401" s="169">
        <f t="shared" si="228"/>
        <v>-139.23998216944057</v>
      </c>
      <c r="AF401" s="98" t="str">
        <f t="shared" si="214"/>
        <v>-0.0000366300366300366</v>
      </c>
      <c r="AG401" s="98" t="str">
        <f t="shared" si="215"/>
        <v>0.0293108868601784i</v>
      </c>
      <c r="AH401" s="98">
        <f t="shared" si="229"/>
        <v>2.9310886860178399E-2</v>
      </c>
      <c r="AI401" s="98">
        <f t="shared" si="230"/>
        <v>1.5707963267948966</v>
      </c>
      <c r="AJ401" s="98" t="str">
        <f t="shared" si="216"/>
        <v>1+4.18639005774446i</v>
      </c>
      <c r="AK401" s="98">
        <f t="shared" si="231"/>
        <v>4.3041679469534717</v>
      </c>
      <c r="AL401" s="98">
        <f t="shared" si="232"/>
        <v>1.3363207529704919</v>
      </c>
      <c r="AM401" s="98" t="str">
        <f t="shared" si="217"/>
        <v>1+288.860913984367i</v>
      </c>
      <c r="AN401" s="98">
        <f t="shared" si="233"/>
        <v>288.86264491602901</v>
      </c>
      <c r="AO401" s="98">
        <f t="shared" si="234"/>
        <v>1.5673344669282261</v>
      </c>
      <c r="AP401" s="168" t="str">
        <f t="shared" si="235"/>
        <v>-0.0192034199291512+0.0816427138168981i</v>
      </c>
      <c r="AQ401" s="98">
        <f t="shared" si="236"/>
        <v>-21.527788633226322</v>
      </c>
      <c r="AR401" s="169">
        <f t="shared" si="237"/>
        <v>103.23611081942062</v>
      </c>
      <c r="AS401" s="168" t="str">
        <f t="shared" si="238"/>
        <v>0.00656455165768388-0.00477010367754183i</v>
      </c>
      <c r="AT401" s="190">
        <f t="shared" si="239"/>
        <v>-41.814625059011462</v>
      </c>
      <c r="AU401" s="169">
        <f t="shared" si="240"/>
        <v>-36.003871350019956</v>
      </c>
      <c r="AV401" s="225"/>
      <c r="AX401">
        <f t="shared" si="241"/>
        <v>0</v>
      </c>
      <c r="AY401">
        <f t="shared" si="242"/>
        <v>0</v>
      </c>
    </row>
    <row r="402" spans="14:51" x14ac:dyDescent="0.3">
      <c r="N402" s="170">
        <v>84</v>
      </c>
      <c r="O402" s="199">
        <f t="shared" si="243"/>
        <v>69183.097091893651</v>
      </c>
      <c r="P402" s="189" t="str">
        <f t="shared" si="209"/>
        <v>108.75</v>
      </c>
      <c r="Q402" s="160" t="str">
        <f t="shared" si="210"/>
        <v>1+1103.24377621022i</v>
      </c>
      <c r="R402" s="160">
        <f t="shared" si="218"/>
        <v>1103.2442294191192</v>
      </c>
      <c r="S402" s="160">
        <f t="shared" si="219"/>
        <v>1.5698899090586727</v>
      </c>
      <c r="T402" s="160" t="str">
        <f t="shared" si="211"/>
        <v>1+0.0408608806003788i</v>
      </c>
      <c r="U402" s="160">
        <f t="shared" si="220"/>
        <v>1.0008344576219579</v>
      </c>
      <c r="V402" s="160">
        <f t="shared" si="221"/>
        <v>4.0838162754446058E-2</v>
      </c>
      <c r="W402" s="98" t="str">
        <f t="shared" si="212"/>
        <v>1-0.324568696967548i</v>
      </c>
      <c r="X402" s="160">
        <f t="shared" si="222"/>
        <v>1.0513538124966362</v>
      </c>
      <c r="Y402" s="160">
        <f t="shared" si="223"/>
        <v>-0.3138417507980627</v>
      </c>
      <c r="Z402" s="98" t="str">
        <f t="shared" si="213"/>
        <v>0.903319259220273+0.626062090674341i</v>
      </c>
      <c r="AA402" s="160">
        <f t="shared" si="224"/>
        <v>1.0990629761109185</v>
      </c>
      <c r="AB402" s="160">
        <f t="shared" si="225"/>
        <v>0.60605876157388683</v>
      </c>
      <c r="AC402" s="171" t="str">
        <f t="shared" si="226"/>
        <v>-0.0726256663391176-0.0602636731850818i</v>
      </c>
      <c r="AD402" s="190">
        <f t="shared" si="227"/>
        <v>-20.503076677910052</v>
      </c>
      <c r="AE402" s="169">
        <f t="shared" si="228"/>
        <v>-140.31462865117504</v>
      </c>
      <c r="AF402" s="98" t="str">
        <f t="shared" si="214"/>
        <v>-0.0000366300366300366</v>
      </c>
      <c r="AG402" s="98" t="str">
        <f t="shared" si="215"/>
        <v>0.0299936251215546i</v>
      </c>
      <c r="AH402" s="98">
        <f t="shared" si="229"/>
        <v>2.9993625121554599E-2</v>
      </c>
      <c r="AI402" s="98">
        <f t="shared" si="230"/>
        <v>1.5707963267948966</v>
      </c>
      <c r="AJ402" s="98" t="str">
        <f t="shared" si="216"/>
        <v>1+4.28390360904372i</v>
      </c>
      <c r="AK402" s="98">
        <f t="shared" si="231"/>
        <v>4.3990715078954796</v>
      </c>
      <c r="AL402" s="98">
        <f t="shared" si="232"/>
        <v>1.3414708648349276</v>
      </c>
      <c r="AM402" s="98" t="str">
        <f t="shared" si="217"/>
        <v>1+295.589349024016i</v>
      </c>
      <c r="AN402" s="98">
        <f t="shared" si="233"/>
        <v>295.59104055509113</v>
      </c>
      <c r="AO402" s="98">
        <f t="shared" si="234"/>
        <v>1.5674132678711916</v>
      </c>
      <c r="AP402" s="168" t="str">
        <f t="shared" si="235"/>
        <v>-0.018383785908351+0.0799756275346307i</v>
      </c>
      <c r="AQ402" s="98">
        <f t="shared" si="236"/>
        <v>-21.71722722772834</v>
      </c>
      <c r="AR402" s="169">
        <f t="shared" si="237"/>
        <v>102.94554610702177</v>
      </c>
      <c r="AS402" s="168" t="str">
        <f t="shared" si="238"/>
        <v>0.00615475978194848-0.00470040877470626i</v>
      </c>
      <c r="AT402" s="190">
        <f t="shared" si="239"/>
        <v>-42.220303905638389</v>
      </c>
      <c r="AU402" s="169">
        <f t="shared" si="240"/>
        <v>-37.369082544153294</v>
      </c>
      <c r="AV402" s="225"/>
      <c r="AX402">
        <f t="shared" si="241"/>
        <v>0</v>
      </c>
      <c r="AY402">
        <f t="shared" si="242"/>
        <v>0</v>
      </c>
    </row>
    <row r="403" spans="14:51" x14ac:dyDescent="0.3">
      <c r="N403" s="170">
        <v>85</v>
      </c>
      <c r="O403" s="199">
        <f t="shared" si="243"/>
        <v>70794.578438413781</v>
      </c>
      <c r="P403" s="189" t="str">
        <f t="shared" ref="P403:P466" si="244">COMPLEX(Adc,0)</f>
        <v>108.75</v>
      </c>
      <c r="Q403" s="160" t="str">
        <f t="shared" ref="Q403:Q466" si="245">IMSUM(COMPLEX(1,0),IMDIV(COMPLEX(0,2*PI()*O403),COMPLEX(wp_lf,0)))</f>
        <v>1+1128.94162497328i</v>
      </c>
      <c r="R403" s="160">
        <f t="shared" si="218"/>
        <v>1128.9420678658894</v>
      </c>
      <c r="S403" s="160">
        <f t="shared" si="219"/>
        <v>1.5699105416344059</v>
      </c>
      <c r="T403" s="160" t="str">
        <f t="shared" ref="T403:T466" si="246">IMSUM(COMPLEX(1,0),IMDIV(COMPLEX(0,2*PI()*O403),COMPLEX(wz_esr,0)))</f>
        <v>1+0.0418126527767882i</v>
      </c>
      <c r="U403" s="160">
        <f t="shared" si="220"/>
        <v>1.0008737672315287</v>
      </c>
      <c r="V403" s="160">
        <f t="shared" si="221"/>
        <v>4.1788311313904924E-2</v>
      </c>
      <c r="W403" s="98" t="str">
        <f t="shared" ref="W403:W466" si="247">IMSUB(COMPLEX(1,0),IMDIV(COMPLEX(0,2*PI()*O403),COMPLEX(wz_rhp,0)))</f>
        <v>1-0.332128873120588i</v>
      </c>
      <c r="X403" s="160">
        <f t="shared" si="222"/>
        <v>1.0537122891759172</v>
      </c>
      <c r="Y403" s="160">
        <f t="shared" si="223"/>
        <v>-0.32066614879306049</v>
      </c>
      <c r="Z403" s="98" t="str">
        <f t="shared" ref="Z403:Z466" si="248">IF(Dc_Mode_Loop="CCM",IMSUM(COMPLEX(1,0),IMDIV(COMPLEX(0,2*PI()*O403),COMPLEX(Q*(wsl/2),0)),IMDIV(IMPOWER(COMPLEX(0,2*PI()*O403),2),IMPOWER(COMPLEX(wsl/2,0),2))),COMPLEX(1,0))</f>
        <v>0.898762836282839+0.64064495011969i</v>
      </c>
      <c r="AA403" s="160">
        <f t="shared" si="224"/>
        <v>1.1037212456037229</v>
      </c>
      <c r="AB403" s="160">
        <f t="shared" si="225"/>
        <v>0.61927002794658015</v>
      </c>
      <c r="AC403" s="171" t="str">
        <f t="shared" si="226"/>
        <v>-0.0719442956750873-0.0574131973927855i</v>
      </c>
      <c r="AD403" s="190">
        <f t="shared" si="227"/>
        <v>-20.720008830356495</v>
      </c>
      <c r="AE403" s="169">
        <f t="shared" si="228"/>
        <v>-141.40933031632707</v>
      </c>
      <c r="AF403" s="98" t="str">
        <f t="shared" ref="AF403:AF466" si="249">COMPLEX(Adc_ea,0)</f>
        <v>-0.0000366300366300366</v>
      </c>
      <c r="AG403" s="98" t="str">
        <f t="shared" ref="AG403:AG466" si="250">COMPLEX(0,2*PI()*O403*wp0_ea)</f>
        <v>0.0306922663999828i</v>
      </c>
      <c r="AH403" s="98">
        <f t="shared" si="229"/>
        <v>3.06922663999828E-2</v>
      </c>
      <c r="AI403" s="98">
        <f t="shared" si="230"/>
        <v>1.5707963267948966</v>
      </c>
      <c r="AJ403" s="98" t="str">
        <f t="shared" ref="AJ403:AJ466" si="251">IMSUM(COMPLEX(1,0),IMDIV(COMPLEX(0,2*PI()*O403),COMPLEX(wp1_ea,0)))</f>
        <v>1+4.38368854274067i</v>
      </c>
      <c r="AK403" s="98">
        <f t="shared" si="231"/>
        <v>4.4963012843620511</v>
      </c>
      <c r="AL403" s="98">
        <f t="shared" si="232"/>
        <v>1.3465157395955496</v>
      </c>
      <c r="AM403" s="98" t="str">
        <f t="shared" ref="AM403:AM466" si="252">IMSUM(COMPLEX(1,0),IMDIV(COMPLEX(0,2*PI()*O403),COMPLEX(wz_ea,0)))</f>
        <v>1+302.474509449105i</v>
      </c>
      <c r="AN403" s="98">
        <f t="shared" si="233"/>
        <v>302.47616247644498</v>
      </c>
      <c r="AO403" s="98">
        <f t="shared" si="234"/>
        <v>1.5674902751263022</v>
      </c>
      <c r="AP403" s="168" t="str">
        <f t="shared" si="235"/>
        <v>-0.0175973060846722+0.0783345705121944i</v>
      </c>
      <c r="AQ403" s="98">
        <f t="shared" si="236"/>
        <v>-21.907117120542807</v>
      </c>
      <c r="AR403" s="169">
        <f t="shared" si="237"/>
        <v>102.66090826577582</v>
      </c>
      <c r="AS403" s="168" t="str">
        <f t="shared" si="238"/>
        <v>0.00576346395153636-0.00462540789468974i</v>
      </c>
      <c r="AT403" s="190">
        <f t="shared" si="239"/>
        <v>-42.627125950899305</v>
      </c>
      <c r="AU403" s="169">
        <f t="shared" si="240"/>
        <v>-38.748422050551277</v>
      </c>
      <c r="AV403" s="225"/>
      <c r="AX403">
        <f t="shared" si="241"/>
        <v>0</v>
      </c>
      <c r="AY403">
        <f t="shared" si="242"/>
        <v>0</v>
      </c>
    </row>
    <row r="404" spans="14:51" x14ac:dyDescent="0.3">
      <c r="N404" s="170">
        <v>86</v>
      </c>
      <c r="O404" s="199">
        <f t="shared" si="243"/>
        <v>72443.596007499116</v>
      </c>
      <c r="P404" s="189" t="str">
        <f t="shared" si="244"/>
        <v>108.75</v>
      </c>
      <c r="Q404" s="160" t="str">
        <f t="shared" si="245"/>
        <v>1+1155.2380535292i</v>
      </c>
      <c r="R404" s="160">
        <f t="shared" ref="R404:R467" si="253">IMABS(Q404)</f>
        <v>1155.2384863403463</v>
      </c>
      <c r="S404" s="160">
        <f t="shared" ref="S404:S467" si="254">IMARGUMENT(Q404)</f>
        <v>1.5699307045561055</v>
      </c>
      <c r="T404" s="160" t="str">
        <f t="shared" si="246"/>
        <v>1+0.0427865945751559i</v>
      </c>
      <c r="U404" s="160">
        <f t="shared" ref="U404:U467" si="255">IMABS(T404)</f>
        <v>1.0009149277912379</v>
      </c>
      <c r="V404" s="160">
        <f t="shared" ref="V404:V467" si="256">IMARGUMENT(T404)</f>
        <v>4.2760513515247137E-2</v>
      </c>
      <c r="W404" s="98" t="str">
        <f t="shared" si="247"/>
        <v>1-0.339865148398402i</v>
      </c>
      <c r="X404" s="160">
        <f t="shared" ref="X404:X467" si="257">IMABS(W404)</f>
        <v>1.0561762727385366</v>
      </c>
      <c r="Y404" s="160">
        <f t="shared" ref="Y404:Y467" si="258">IMARGUMENT(W404)</f>
        <v>-0.32761762371908676</v>
      </c>
      <c r="Z404" s="98" t="str">
        <f t="shared" si="248"/>
        <v>0.893991675748058+0.655567487997534i</v>
      </c>
      <c r="AA404" s="160">
        <f t="shared" ref="AA404:AA467" si="259">IMABS(Z404)</f>
        <v>1.108598145238489</v>
      </c>
      <c r="AB404" s="160">
        <f t="shared" ref="AB404:AB467" si="260">IMARGUMENT(Z404)</f>
        <v>0.6327296258945535</v>
      </c>
      <c r="AC404" s="171" t="str">
        <f t="shared" ref="AC404:AC467" si="261">(IMDIV(IMPRODUCT(P404,T404,W404),IMPRODUCT(Q404,Z404)))</f>
        <v>-0.0712401267731727-0.0546165808813785i</v>
      </c>
      <c r="AD404" s="190">
        <f t="shared" ref="AD404:AD467" si="262">20*LOG(IMABS(AC404))</f>
        <v>-20.937659153855922</v>
      </c>
      <c r="AE404" s="169">
        <f t="shared" ref="AE404:AE467" si="263">(180/PI())*IMARGUMENT(AC404)</f>
        <v>-142.52425081468698</v>
      </c>
      <c r="AF404" s="98" t="str">
        <f t="shared" si="249"/>
        <v>-0.0000366300366300366</v>
      </c>
      <c r="AG404" s="98" t="str">
        <f t="shared" si="250"/>
        <v>0.0314071811243165i</v>
      </c>
      <c r="AH404" s="98">
        <f t="shared" ref="AH404:AH467" si="264">IMABS(AG404)</f>
        <v>3.1407181124316501E-2</v>
      </c>
      <c r="AI404" s="98">
        <f t="shared" ref="AI404:AI467" si="265">IMARGUMENT(AG404)</f>
        <v>1.5707963267948966</v>
      </c>
      <c r="AJ404" s="98" t="str">
        <f t="shared" si="251"/>
        <v>1+4.48579776612796i</v>
      </c>
      <c r="AK404" s="98">
        <f t="shared" ref="AK404:AK467" si="266">IMABS(AJ404)</f>
        <v>4.5959092243644886</v>
      </c>
      <c r="AL404" s="98">
        <f t="shared" ref="AL404:AL467" si="267">IMARGUMENT(AJ404)</f>
        <v>1.3514570244852087</v>
      </c>
      <c r="AM404" s="98" t="str">
        <f t="shared" si="252"/>
        <v>1+309.520045862828i</v>
      </c>
      <c r="AN404" s="98">
        <f t="shared" ref="AN404:AN467" si="268">IMABS(AM404)</f>
        <v>309.52166126287051</v>
      </c>
      <c r="AO404" s="98">
        <f t="shared" ref="AO404:AO467" si="269">IMARGUMENT(AM404)</f>
        <v>1.5675655295201689</v>
      </c>
      <c r="AP404" s="168" t="str">
        <f t="shared" ref="AP404:AP467" si="270">IMPRODUCT(AF404,IMDIV(AM404,IMPRODUCT(AG404,AJ404)))</f>
        <v>-0.016842793054042+0.0767196584037069i</v>
      </c>
      <c r="AQ404" s="98">
        <f t="shared" ref="AQ404:AQ467" si="271">20*LOG(IMABS(AP404))</f>
        <v>-22.097440013026841</v>
      </c>
      <c r="AR404" s="169">
        <f t="shared" ref="AR404:AR467" si="272">(180/PI())*IMARGUMENT(AP404)</f>
        <v>102.38210525538493</v>
      </c>
      <c r="AS404" s="168" t="str">
        <f t="shared" ref="AS404:AS467" si="273">IMPRODUCT(AC404,AP404)</f>
        <v>0.00539004814078205-0.00454562242157018i</v>
      </c>
      <c r="AT404" s="190">
        <f t="shared" ref="AT404:AT467" si="274">20*LOG(IMABS(AS404))</f>
        <v>-43.035099166882759</v>
      </c>
      <c r="AU404" s="169">
        <f t="shared" ref="AU404:AU467" si="275">(180/PI())*IMARGUMENT(AS404)</f>
        <v>-40.14214555930208</v>
      </c>
      <c r="AV404" s="225"/>
      <c r="AX404">
        <f t="shared" ref="AX404:AX467" si="276">SUM((AT405&lt;0)*(AT404&gt;0))*O404</f>
        <v>0</v>
      </c>
      <c r="AY404">
        <f t="shared" ref="AY404:AY467" si="277">IF(AX404&gt;0,AU404,0)</f>
        <v>0</v>
      </c>
    </row>
    <row r="405" spans="14:51" x14ac:dyDescent="0.3">
      <c r="N405" s="170">
        <v>87</v>
      </c>
      <c r="O405" s="199">
        <f t="shared" si="243"/>
        <v>74131.024130091857</v>
      </c>
      <c r="P405" s="189" t="str">
        <f t="shared" si="244"/>
        <v>108.75</v>
      </c>
      <c r="Q405" s="160" t="str">
        <f t="shared" si="245"/>
        <v>1+1182.1470045925i</v>
      </c>
      <c r="R405" s="160">
        <f t="shared" si="253"/>
        <v>1182.1474275516655</v>
      </c>
      <c r="S405" s="160">
        <f t="shared" si="254"/>
        <v>1.5699504085143534</v>
      </c>
      <c r="T405" s="160" t="str">
        <f t="shared" si="246"/>
        <v>1+0.0437832223923148i</v>
      </c>
      <c r="U405" s="160">
        <f t="shared" si="255"/>
        <v>1.0009580263742606</v>
      </c>
      <c r="V405" s="160">
        <f t="shared" si="256"/>
        <v>4.3755277477533501E-2</v>
      </c>
      <c r="W405" s="98" t="str">
        <f t="shared" si="247"/>
        <v>1-0.347781624676543i</v>
      </c>
      <c r="X405" s="160">
        <f t="shared" si="257"/>
        <v>1.0587502342208268</v>
      </c>
      <c r="Y405" s="160">
        <f t="shared" si="258"/>
        <v>-0.33469717311682884</v>
      </c>
      <c r="Z405" s="98" t="str">
        <f t="shared" si="248"/>
        <v>0.888995657344755+0.670837616434974i</v>
      </c>
      <c r="AA405" s="160">
        <f t="shared" si="259"/>
        <v>1.1137039042770707</v>
      </c>
      <c r="AB405" s="160">
        <f t="shared" si="260"/>
        <v>0.64643968469182067</v>
      </c>
      <c r="AC405" s="171" t="str">
        <f t="shared" si="261"/>
        <v>-0.0705128424874541-0.0518735322575012i</v>
      </c>
      <c r="AD405" s="190">
        <f t="shared" si="262"/>
        <v>-21.156054644455406</v>
      </c>
      <c r="AE405" s="169">
        <f t="shared" si="263"/>
        <v>-143.6595407989881</v>
      </c>
      <c r="AF405" s="98" t="str">
        <f t="shared" si="249"/>
        <v>-0.0000366300366300366</v>
      </c>
      <c r="AG405" s="98" t="str">
        <f t="shared" si="250"/>
        <v>0.0321387483518054i</v>
      </c>
      <c r="AH405" s="98">
        <f t="shared" si="264"/>
        <v>3.2138748351805399E-2</v>
      </c>
      <c r="AI405" s="98">
        <f t="shared" si="265"/>
        <v>1.5707963267948966</v>
      </c>
      <c r="AJ405" s="98" t="str">
        <f t="shared" si="251"/>
        <v>1+4.59028541886741i</v>
      </c>
      <c r="AK405" s="98">
        <f t="shared" si="266"/>
        <v>4.6979485125602167</v>
      </c>
      <c r="AL405" s="98">
        <f t="shared" si="267"/>
        <v>1.3562963738189753</v>
      </c>
      <c r="AM405" s="98" t="str">
        <f t="shared" si="252"/>
        <v>1+316.72969390185i</v>
      </c>
      <c r="AN405" s="98">
        <f t="shared" si="268"/>
        <v>316.73127253108368</v>
      </c>
      <c r="AO405" s="98">
        <f t="shared" si="269"/>
        <v>1.5676390709502557</v>
      </c>
      <c r="AP405" s="168" t="str">
        <f t="shared" si="270"/>
        <v>-0.0161190889295882+0.0751309657112772i</v>
      </c>
      <c r="AQ405" s="98">
        <f t="shared" si="271"/>
        <v>-22.28817826558209</v>
      </c>
      <c r="AR405" s="169">
        <f t="shared" si="272"/>
        <v>102.109044576534</v>
      </c>
      <c r="AS405" s="168" t="str">
        <f t="shared" si="273"/>
        <v>0.00503391135209447-0.00446154387157908i</v>
      </c>
      <c r="AT405" s="190">
        <f t="shared" si="274"/>
        <v>-43.444232910037492</v>
      </c>
      <c r="AU405" s="169">
        <f t="shared" si="275"/>
        <v>-41.550496222454093</v>
      </c>
      <c r="AV405" s="225"/>
      <c r="AX405">
        <f t="shared" si="276"/>
        <v>0</v>
      </c>
      <c r="AY405">
        <f t="shared" si="277"/>
        <v>0</v>
      </c>
    </row>
    <row r="406" spans="14:51" x14ac:dyDescent="0.3">
      <c r="N406" s="170">
        <v>88</v>
      </c>
      <c r="O406" s="199">
        <f t="shared" si="243"/>
        <v>75857.757502918481</v>
      </c>
      <c r="P406" s="189" t="str">
        <f t="shared" si="244"/>
        <v>108.75</v>
      </c>
      <c r="Q406" s="160" t="str">
        <f t="shared" si="245"/>
        <v>1+1209.68274564518i</v>
      </c>
      <c r="R406" s="160">
        <f t="shared" si="253"/>
        <v>1209.6831589766227</v>
      </c>
      <c r="S406" s="160">
        <f t="shared" si="254"/>
        <v>1.5699696639563883</v>
      </c>
      <c r="T406" s="160" t="str">
        <f t="shared" si="246"/>
        <v>1+0.0448030646535254i</v>
      </c>
      <c r="U406" s="160">
        <f t="shared" si="255"/>
        <v>1.0010031541420576</v>
      </c>
      <c r="V406" s="160">
        <f t="shared" si="256"/>
        <v>4.4773122758306833E-2</v>
      </c>
      <c r="W406" s="98" t="str">
        <f t="shared" si="247"/>
        <v>1-0.355882499375522i</v>
      </c>
      <c r="X406" s="160">
        <f t="shared" si="257"/>
        <v>1.0614388128204888</v>
      </c>
      <c r="Y406" s="160">
        <f t="shared" si="258"/>
        <v>-0.34190571112087825</v>
      </c>
      <c r="Z406" s="98" t="str">
        <f t="shared" si="248"/>
        <v>0.883764183848069+0.686463431856232i</v>
      </c>
      <c r="AA406" s="160">
        <f t="shared" si="259"/>
        <v>1.1190492285545257</v>
      </c>
      <c r="AB406" s="160">
        <f t="shared" si="260"/>
        <v>0.66040218435998532</v>
      </c>
      <c r="AC406" s="171" t="str">
        <f t="shared" si="261"/>
        <v>-0.0697621579214783-0.0491838277707665i</v>
      </c>
      <c r="AD406" s="190">
        <f t="shared" si="262"/>
        <v>-21.375223020504841</v>
      </c>
      <c r="AE406" s="169">
        <f t="shared" si="263"/>
        <v>-144.81533692229422</v>
      </c>
      <c r="AF406" s="98" t="str">
        <f t="shared" si="249"/>
        <v>-0.0000366300366300366</v>
      </c>
      <c r="AG406" s="98" t="str">
        <f t="shared" si="250"/>
        <v>0.0328873559690771i</v>
      </c>
      <c r="AH406" s="98">
        <f t="shared" si="264"/>
        <v>3.2887355969077103E-2</v>
      </c>
      <c r="AI406" s="98">
        <f t="shared" si="265"/>
        <v>1.5707963267948966</v>
      </c>
      <c r="AJ406" s="98" t="str">
        <f t="shared" si="251"/>
        <v>1+4.69720690169554i</v>
      </c>
      <c r="AK406" s="98">
        <f t="shared" si="266"/>
        <v>4.8024735998583283</v>
      </c>
      <c r="AL406" s="98">
        <f t="shared" si="267"/>
        <v>1.3610354463958225</v>
      </c>
      <c r="AM406" s="98" t="str">
        <f t="shared" si="252"/>
        <v>1+324.107276216991i</v>
      </c>
      <c r="AN406" s="98">
        <f t="shared" si="268"/>
        <v>324.10881891240928</v>
      </c>
      <c r="AO406" s="98">
        <f t="shared" si="269"/>
        <v>1.5677109384060186</v>
      </c>
      <c r="AP406" s="168" t="str">
        <f t="shared" si="270"/>
        <v>-0.0154250657753233+0.0735685284460065i</v>
      </c>
      <c r="AQ406" s="98">
        <f t="shared" si="271"/>
        <v>-22.479314880941679</v>
      </c>
      <c r="AR406" s="169">
        <f t="shared" si="272"/>
        <v>101.84163342097399</v>
      </c>
      <c r="AS406" s="168" t="str">
        <f t="shared" si="273"/>
        <v>0.00469446770700441-0.00437363552105483i</v>
      </c>
      <c r="AT406" s="190">
        <f t="shared" si="274"/>
        <v>-43.85453790144652</v>
      </c>
      <c r="AU406" s="169">
        <f t="shared" si="275"/>
        <v>-42.973703501320252</v>
      </c>
      <c r="AV406" s="225"/>
      <c r="AX406">
        <f t="shared" si="276"/>
        <v>0</v>
      </c>
      <c r="AY406">
        <f t="shared" si="277"/>
        <v>0</v>
      </c>
    </row>
    <row r="407" spans="14:51" x14ac:dyDescent="0.3">
      <c r="N407" s="170">
        <v>89</v>
      </c>
      <c r="O407" s="199">
        <f t="shared" si="243"/>
        <v>77624.711662869129</v>
      </c>
      <c r="P407" s="189" t="str">
        <f t="shared" si="244"/>
        <v>108.75</v>
      </c>
      <c r="Q407" s="160" t="str">
        <f t="shared" si="245"/>
        <v>1+1237.85987650166i</v>
      </c>
      <c r="R407" s="160">
        <f t="shared" si="253"/>
        <v>1237.8602804245336</v>
      </c>
      <c r="S407" s="160">
        <f t="shared" si="254"/>
        <v>1.5699884810916431</v>
      </c>
      <c r="T407" s="160" t="str">
        <f t="shared" si="246"/>
        <v>1+0.0458466620926541i</v>
      </c>
      <c r="U407" s="160">
        <f t="shared" si="255"/>
        <v>1.0010504065355741</v>
      </c>
      <c r="V407" s="160">
        <f t="shared" si="256"/>
        <v>4.5814580591830245E-2</v>
      </c>
      <c r="W407" s="98" t="str">
        <f t="shared" si="247"/>
        <v>1-0.36417206768633i</v>
      </c>
      <c r="X407" s="160">
        <f t="shared" si="257"/>
        <v>1.0642468204711428</v>
      </c>
      <c r="Y407" s="160">
        <f t="shared" si="258"/>
        <v>-0.34924406223175808</v>
      </c>
      <c r="Z407" s="98" t="str">
        <f t="shared" si="248"/>
        <v>0.878286158601317+0.702453219275479i</v>
      </c>
      <c r="AA407" s="160">
        <f t="shared" si="259"/>
        <v>1.1246453226067059</v>
      </c>
      <c r="AB407" s="160">
        <f t="shared" si="260"/>
        <v>0.67461894412659051</v>
      </c>
      <c r="AC407" s="171" t="str">
        <f t="shared" si="261"/>
        <v>-0.0689878239966184-0.0465473102240193i</v>
      </c>
      <c r="AD407" s="190">
        <f t="shared" si="262"/>
        <v>-21.595192717342218</v>
      </c>
      <c r="AE407" s="169">
        <f t="shared" si="263"/>
        <v>-145.99176080654155</v>
      </c>
      <c r="AF407" s="98" t="str">
        <f t="shared" si="249"/>
        <v>-0.0000366300366300366</v>
      </c>
      <c r="AG407" s="98" t="str">
        <f t="shared" si="250"/>
        <v>0.0336534008977992i</v>
      </c>
      <c r="AH407" s="98">
        <f t="shared" si="264"/>
        <v>3.3653400897799203E-2</v>
      </c>
      <c r="AI407" s="98">
        <f t="shared" si="265"/>
        <v>1.5707963267948966</v>
      </c>
      <c r="AJ407" s="98" t="str">
        <f t="shared" si="251"/>
        <v>1+4.80661890579783i</v>
      </c>
      <c r="AK407" s="98">
        <f t="shared" si="266"/>
        <v>4.9095402336240337</v>
      </c>
      <c r="AL407" s="98">
        <f t="shared" si="267"/>
        <v>1.3656759030698786</v>
      </c>
      <c r="AM407" s="98" t="str">
        <f t="shared" si="252"/>
        <v>1+331.656704500049i</v>
      </c>
      <c r="AN407" s="98">
        <f t="shared" si="268"/>
        <v>331.6582120795938</v>
      </c>
      <c r="AO407" s="98">
        <f t="shared" si="269"/>
        <v>1.5677811699895625</v>
      </c>
      <c r="AP407" s="168" t="str">
        <f t="shared" si="270"/>
        <v>-0.0147596259047588+0.0720323466911637i</v>
      </c>
      <c r="AQ407" s="98">
        <f t="shared" si="271"/>
        <v>-22.670833487251652</v>
      </c>
      <c r="AR407" s="169">
        <f t="shared" si="272"/>
        <v>101.57977881186287</v>
      </c>
      <c r="AS407" s="168" t="str">
        <f t="shared" si="273"/>
        <v>0.00437114646177114-0.00428233396981412i</v>
      </c>
      <c r="AT407" s="190">
        <f t="shared" si="274"/>
        <v>-44.266026204593871</v>
      </c>
      <c r="AU407" s="169">
        <f t="shared" si="275"/>
        <v>-44.411981994678662</v>
      </c>
      <c r="AV407" s="225"/>
      <c r="AX407">
        <f t="shared" si="276"/>
        <v>0</v>
      </c>
      <c r="AY407">
        <f t="shared" si="277"/>
        <v>0</v>
      </c>
    </row>
    <row r="408" spans="14:51" x14ac:dyDescent="0.3">
      <c r="N408" s="170">
        <v>90</v>
      </c>
      <c r="O408" s="199">
        <f t="shared" si="243"/>
        <v>79432.823472428237</v>
      </c>
      <c r="P408" s="189" t="str">
        <f t="shared" si="244"/>
        <v>108.75</v>
      </c>
      <c r="Q408" s="160" t="str">
        <f t="shared" si="245"/>
        <v>1+1266.69333704967i</v>
      </c>
      <c r="R408" s="160">
        <f t="shared" si="253"/>
        <v>1266.6937317781392</v>
      </c>
      <c r="S408" s="160">
        <f t="shared" si="254"/>
        <v>1.5700068698971585</v>
      </c>
      <c r="T408" s="160" t="str">
        <f t="shared" si="246"/>
        <v>1+0.0469145680388767i</v>
      </c>
      <c r="U408" s="160">
        <f t="shared" si="255"/>
        <v>1.0010998834753075</v>
      </c>
      <c r="V408" s="160">
        <f t="shared" si="256"/>
        <v>4.6880194130881576E-2</v>
      </c>
      <c r="W408" s="98" t="str">
        <f t="shared" si="247"/>
        <v>1-0.372654724847815i</v>
      </c>
      <c r="X408" s="160">
        <f t="shared" si="257"/>
        <v>1.0671792464021219</v>
      </c>
      <c r="Y408" s="160">
        <f t="shared" si="258"/>
        <v>-0.35671295493221505</v>
      </c>
      <c r="Z408" s="98" t="str">
        <f t="shared" si="248"/>
        <v>0.8725499619785+0.718815456689655i</v>
      </c>
      <c r="AA408" s="160">
        <f t="shared" si="259"/>
        <v>1.1305039128303092</v>
      </c>
      <c r="AB408" s="160">
        <f t="shared" si="260"/>
        <v>0.68909161057733959</v>
      </c>
      <c r="AC408" s="171" t="str">
        <f t="shared" si="261"/>
        <v>-0.0681896311320795-0.0439638876247871i</v>
      </c>
      <c r="AD408" s="190">
        <f t="shared" si="262"/>
        <v>-21.815992879504176</v>
      </c>
      <c r="AE408" s="169">
        <f t="shared" si="263"/>
        <v>-147.18891798440887</v>
      </c>
      <c r="AF408" s="98" t="str">
        <f t="shared" si="249"/>
        <v>-0.0000366300366300366</v>
      </c>
      <c r="AG408" s="98" t="str">
        <f t="shared" si="250"/>
        <v>0.0344372893051328i</v>
      </c>
      <c r="AH408" s="98">
        <f t="shared" si="264"/>
        <v>3.4437289305132797E-2</v>
      </c>
      <c r="AI408" s="98">
        <f t="shared" si="265"/>
        <v>1.5707963267948966</v>
      </c>
      <c r="AJ408" s="98" t="str">
        <f t="shared" si="251"/>
        <v>1+4.91857944286712i</v>
      </c>
      <c r="AK408" s="98">
        <f t="shared" si="266"/>
        <v>5.0192054885006483</v>
      </c>
      <c r="AL408" s="98">
        <f t="shared" si="267"/>
        <v>1.370219404484831</v>
      </c>
      <c r="AM408" s="98" t="str">
        <f t="shared" si="252"/>
        <v>1+339.38198155783i</v>
      </c>
      <c r="AN408" s="98">
        <f t="shared" si="268"/>
        <v>339.38345482082548</v>
      </c>
      <c r="AO408" s="98">
        <f t="shared" si="269"/>
        <v>1.5678498029358303</v>
      </c>
      <c r="AP408" s="168" t="str">
        <f t="shared" si="270"/>
        <v>-0.0141217020563295+0.070522387065678i</v>
      </c>
      <c r="AQ408" s="98">
        <f t="shared" si="271"/>
        <v>-22.862718321019585</v>
      </c>
      <c r="AR408" s="169">
        <f t="shared" si="272"/>
        <v>101.32338773473103</v>
      </c>
      <c r="AS408" s="168" t="str">
        <f t="shared" si="273"/>
        <v>0.00406339195416544-0.00418805063828712i</v>
      </c>
      <c r="AT408" s="190">
        <f t="shared" si="274"/>
        <v>-44.678711200523765</v>
      </c>
      <c r="AU408" s="169">
        <f t="shared" si="275"/>
        <v>-45.865530249677875</v>
      </c>
      <c r="AV408" s="225"/>
      <c r="AX408">
        <f t="shared" si="276"/>
        <v>0</v>
      </c>
      <c r="AY408">
        <f t="shared" si="277"/>
        <v>0</v>
      </c>
    </row>
    <row r="409" spans="14:51" x14ac:dyDescent="0.3">
      <c r="N409" s="170">
        <v>91</v>
      </c>
      <c r="O409" s="199">
        <f t="shared" si="243"/>
        <v>81283.051616410012</v>
      </c>
      <c r="P409" s="189" t="str">
        <f t="shared" si="244"/>
        <v>108.75</v>
      </c>
      <c r="Q409" s="160" t="str">
        <f t="shared" si="245"/>
        <v>1+1296.19841517165i</v>
      </c>
      <c r="R409" s="160">
        <f t="shared" si="253"/>
        <v>1296.198800915005</v>
      </c>
      <c r="S409" s="160">
        <f t="shared" si="254"/>
        <v>1.5700248401228731</v>
      </c>
      <c r="T409" s="160" t="str">
        <f t="shared" si="246"/>
        <v>1+0.0480073487100611i</v>
      </c>
      <c r="U409" s="160">
        <f t="shared" si="255"/>
        <v>1.0011516895706511</v>
      </c>
      <c r="V409" s="160">
        <f t="shared" si="256"/>
        <v>4.7970518692049761E-2</v>
      </c>
      <c r="W409" s="98" t="str">
        <f t="shared" si="247"/>
        <v>1-0.381334968477082i</v>
      </c>
      <c r="X409" s="160">
        <f t="shared" si="257"/>
        <v>1.0702412616711323</v>
      </c>
      <c r="Y409" s="160">
        <f t="shared" si="258"/>
        <v>-0.36431301516428927</v>
      </c>
      <c r="Z409" s="98" t="str">
        <f t="shared" si="248"/>
        <v>0.866543426737514+0.735558819573613i</v>
      </c>
      <c r="AA409" s="160">
        <f t="shared" si="259"/>
        <v>1.1366372717250302</v>
      </c>
      <c r="AB409" s="160">
        <f t="shared" si="260"/>
        <v>0.70382164553005422</v>
      </c>
      <c r="AC409" s="171" t="str">
        <f t="shared" si="261"/>
        <v>-0.0673674130194233-0.0414335315552852i</v>
      </c>
      <c r="AD409" s="190">
        <f t="shared" si="262"/>
        <v>-22.037653350295102</v>
      </c>
      <c r="AE409" s="169">
        <f t="shared" si="263"/>
        <v>-148.40689681705874</v>
      </c>
      <c r="AF409" s="98" t="str">
        <f t="shared" si="249"/>
        <v>-0.0000366300366300366</v>
      </c>
      <c r="AG409" s="98" t="str">
        <f t="shared" si="250"/>
        <v>0.0352394368190874i</v>
      </c>
      <c r="AH409" s="98">
        <f t="shared" si="264"/>
        <v>3.5239436819087401E-2</v>
      </c>
      <c r="AI409" s="98">
        <f t="shared" si="265"/>
        <v>1.5707963267948966</v>
      </c>
      <c r="AJ409" s="98" t="str">
        <f t="shared" si="251"/>
        <v>1+5.03314787586209i</v>
      </c>
      <c r="AK409" s="98">
        <f t="shared" si="266"/>
        <v>5.1315277978682987</v>
      </c>
      <c r="AL409" s="98">
        <f t="shared" si="267"/>
        <v>1.3746676089649825</v>
      </c>
      <c r="AM409" s="98" t="str">
        <f t="shared" si="252"/>
        <v>1+347.287203434483i</v>
      </c>
      <c r="AN409" s="98">
        <f t="shared" si="268"/>
        <v>347.28864316205903</v>
      </c>
      <c r="AO409" s="98">
        <f t="shared" si="269"/>
        <v>1.5679168736323301</v>
      </c>
      <c r="AP409" s="168" t="str">
        <f t="shared" si="270"/>
        <v>-0.0135102574569202+0.0690385850868831i</v>
      </c>
      <c r="AQ409" s="98">
        <f t="shared" si="271"/>
        <v>-23.054954209995753</v>
      </c>
      <c r="AR409" s="169">
        <f t="shared" si="272"/>
        <v>101.07236725944566</v>
      </c>
      <c r="AS409" s="168" t="str">
        <f t="shared" si="273"/>
        <v>0.0037706634878287-0.00409117319716332i</v>
      </c>
      <c r="AT409" s="190">
        <f t="shared" si="274"/>
        <v>-45.092607560290858</v>
      </c>
      <c r="AU409" s="169">
        <f t="shared" si="275"/>
        <v>-47.334529557613081</v>
      </c>
      <c r="AV409" s="225"/>
      <c r="AX409">
        <f t="shared" si="276"/>
        <v>0</v>
      </c>
      <c r="AY409">
        <f t="shared" si="277"/>
        <v>0</v>
      </c>
    </row>
    <row r="410" spans="14:51" x14ac:dyDescent="0.3">
      <c r="N410" s="170">
        <v>92</v>
      </c>
      <c r="O410" s="199">
        <f t="shared" si="243"/>
        <v>83176.377110267174</v>
      </c>
      <c r="P410" s="189" t="str">
        <f t="shared" si="244"/>
        <v>108.75</v>
      </c>
      <c r="Q410" s="160" t="str">
        <f t="shared" si="245"/>
        <v>1+1326.39075485057i</v>
      </c>
      <c r="R410" s="160">
        <f t="shared" si="253"/>
        <v>1326.3911318133366</v>
      </c>
      <c r="S410" s="160">
        <f t="shared" si="254"/>
        <v>1.570042401296792</v>
      </c>
      <c r="T410" s="160" t="str">
        <f t="shared" si="246"/>
        <v>1+0.0491255835129841i</v>
      </c>
      <c r="U410" s="160">
        <f t="shared" si="255"/>
        <v>1.0012059343389308</v>
      </c>
      <c r="V410" s="160">
        <f t="shared" si="256"/>
        <v>4.9086122004464508E-2</v>
      </c>
      <c r="W410" s="98" t="str">
        <f t="shared" si="247"/>
        <v>1-0.3902174009542i</v>
      </c>
      <c r="X410" s="160">
        <f t="shared" si="257"/>
        <v>1.073438223656793</v>
      </c>
      <c r="Y410" s="160">
        <f t="shared" si="258"/>
        <v>-0.37204475968629702</v>
      </c>
      <c r="Z410" s="98" t="str">
        <f t="shared" si="248"/>
        <v>0.860253812211805+0.752692185479982i</v>
      </c>
      <c r="AA410" s="160">
        <f t="shared" si="259"/>
        <v>1.1430582432700334</v>
      </c>
      <c r="AB410" s="160">
        <f t="shared" si="260"/>
        <v>0.71881031366262349</v>
      </c>
      <c r="AC410" s="171" t="str">
        <f t="shared" si="261"/>
        <v>-0.0665210504715094-0.0389562752387958i</v>
      </c>
      <c r="AD410" s="190">
        <f t="shared" si="262"/>
        <v>-22.260204658542008</v>
      </c>
      <c r="AE410" s="169">
        <f t="shared" si="263"/>
        <v>-149.64576739069818</v>
      </c>
      <c r="AF410" s="98" t="str">
        <f t="shared" si="249"/>
        <v>-0.0000366300366300366</v>
      </c>
      <c r="AG410" s="98" t="str">
        <f t="shared" si="250"/>
        <v>0.0360602687488925i</v>
      </c>
      <c r="AH410" s="98">
        <f t="shared" si="264"/>
        <v>3.6060268748892503E-2</v>
      </c>
      <c r="AI410" s="98">
        <f t="shared" si="265"/>
        <v>1.5707963267948966</v>
      </c>
      <c r="AJ410" s="98" t="str">
        <f t="shared" si="251"/>
        <v>1+5.15038495048244i</v>
      </c>
      <c r="AK410" s="98">
        <f t="shared" si="266"/>
        <v>5.2465669859591051</v>
      </c>
      <c r="AL410" s="98">
        <f t="shared" si="267"/>
        <v>1.3790221705564245</v>
      </c>
      <c r="AM410" s="98" t="str">
        <f t="shared" si="252"/>
        <v>1+355.376561583288i</v>
      </c>
      <c r="AN410" s="98">
        <f t="shared" si="268"/>
        <v>355.37796853879456</v>
      </c>
      <c r="AO410" s="98">
        <f t="shared" si="269"/>
        <v>1.5679824176384183</v>
      </c>
      <c r="AP410" s="168" t="str">
        <f t="shared" si="270"/>
        <v>-0.0129242857841766+0.0675808474321344i</v>
      </c>
      <c r="AQ410" s="98">
        <f t="shared" si="271"/>
        <v>-23.247526556047259</v>
      </c>
      <c r="AR410" s="169">
        <f t="shared" si="272"/>
        <v>100.8266246535475</v>
      </c>
      <c r="AS410" s="168" t="str">
        <f t="shared" si="273"/>
        <v>0.00349243516039472-0.00399206692866715i</v>
      </c>
      <c r="AT410" s="190">
        <f t="shared" si="274"/>
        <v>-45.507731214589256</v>
      </c>
      <c r="AU410" s="169">
        <f t="shared" si="275"/>
        <v>-48.819142737150671</v>
      </c>
      <c r="AV410" s="225"/>
      <c r="AX410">
        <f t="shared" si="276"/>
        <v>0</v>
      </c>
      <c r="AY410">
        <f t="shared" si="277"/>
        <v>0</v>
      </c>
    </row>
    <row r="411" spans="14:51" x14ac:dyDescent="0.3">
      <c r="N411" s="170">
        <v>93</v>
      </c>
      <c r="O411" s="199">
        <f t="shared" si="243"/>
        <v>85113.803820237721</v>
      </c>
      <c r="P411" s="189" t="str">
        <f t="shared" si="244"/>
        <v>108.75</v>
      </c>
      <c r="Q411" s="160" t="str">
        <f t="shared" si="245"/>
        <v>1+1357.28636446456i</v>
      </c>
      <c r="R411" s="160">
        <f t="shared" si="253"/>
        <v>1357.2867328466091</v>
      </c>
      <c r="S411" s="160">
        <f t="shared" si="254"/>
        <v>1.5700595627300384</v>
      </c>
      <c r="T411" s="160" t="str">
        <f t="shared" si="246"/>
        <v>1+0.0502698653505395i</v>
      </c>
      <c r="U411" s="160">
        <f t="shared" si="255"/>
        <v>1.00126273243458</v>
      </c>
      <c r="V411" s="160">
        <f t="shared" si="256"/>
        <v>5.0227584461878354E-2</v>
      </c>
      <c r="W411" s="98" t="str">
        <f t="shared" si="247"/>
        <v>1-0.399306731862442i</v>
      </c>
      <c r="X411" s="160">
        <f t="shared" si="257"/>
        <v>1.0767756804974118</v>
      </c>
      <c r="Y411" s="160">
        <f t="shared" si="258"/>
        <v>-0.37990858933144522</v>
      </c>
      <c r="Z411" s="98" t="str">
        <f t="shared" si="248"/>
        <v>0.853667777285699+0.770224638746151i</v>
      </c>
      <c r="AA411" s="160">
        <f t="shared" si="259"/>
        <v>1.149780269489586</v>
      </c>
      <c r="AB411" s="160">
        <f t="shared" si="260"/>
        <v>0.73405866993179747</v>
      </c>
      <c r="AC411" s="171" t="str">
        <f t="shared" si="261"/>
        <v>-0.065650475322553-0.0365322112809963i</v>
      </c>
      <c r="AD411" s="190">
        <f t="shared" si="262"/>
        <v>-22.48367800236737</v>
      </c>
      <c r="AE411" s="169">
        <f t="shared" si="263"/>
        <v>-150.90558039532388</v>
      </c>
      <c r="AF411" s="98" t="str">
        <f t="shared" si="249"/>
        <v>-0.0000366300366300366</v>
      </c>
      <c r="AG411" s="98" t="str">
        <f t="shared" si="250"/>
        <v>0.0369002203105024i</v>
      </c>
      <c r="AH411" s="98">
        <f t="shared" si="264"/>
        <v>3.6900220310502399E-2</v>
      </c>
      <c r="AI411" s="98">
        <f t="shared" si="265"/>
        <v>1.5707963267948966</v>
      </c>
      <c r="AJ411" s="98" t="str">
        <f t="shared" si="251"/>
        <v>1+5.27035282737694i</v>
      </c>
      <c r="AK411" s="98">
        <f t="shared" si="266"/>
        <v>5.3643843006481289</v>
      </c>
      <c r="AL411" s="98">
        <f t="shared" si="267"/>
        <v>1.3832847372117572</v>
      </c>
      <c r="AM411" s="98" t="str">
        <f t="shared" si="252"/>
        <v>1+363.654345089008i</v>
      </c>
      <c r="AN411" s="98">
        <f t="shared" si="268"/>
        <v>363.6557200184198</v>
      </c>
      <c r="AO411" s="98">
        <f t="shared" si="269"/>
        <v>1.5680464697041403</v>
      </c>
      <c r="AP411" s="168" t="str">
        <f t="shared" si="270"/>
        <v>-0.0123628110376836+0.0661490540995373i</v>
      </c>
      <c r="AQ411" s="98">
        <f t="shared" si="271"/>
        <v>-23.440421318079409</v>
      </c>
      <c r="AR411" s="169">
        <f t="shared" si="272"/>
        <v>100.58606748733868</v>
      </c>
      <c r="AS411" s="168" t="str">
        <f t="shared" si="273"/>
        <v>0.00322819564134918-0.00389107601891621i</v>
      </c>
      <c r="AT411" s="190">
        <f t="shared" si="274"/>
        <v>-45.924099320446778</v>
      </c>
      <c r="AU411" s="169">
        <f t="shared" si="275"/>
        <v>-50.319512907985271</v>
      </c>
      <c r="AV411" s="225"/>
      <c r="AX411">
        <f t="shared" si="276"/>
        <v>0</v>
      </c>
      <c r="AY411">
        <f t="shared" si="277"/>
        <v>0</v>
      </c>
    </row>
    <row r="412" spans="14:51" x14ac:dyDescent="0.3">
      <c r="N412" s="170">
        <v>94</v>
      </c>
      <c r="O412" s="199">
        <f t="shared" si="243"/>
        <v>87096.358995608127</v>
      </c>
      <c r="P412" s="189" t="str">
        <f t="shared" si="244"/>
        <v>108.75</v>
      </c>
      <c r="Q412" s="160" t="str">
        <f t="shared" si="245"/>
        <v>1+1388.90162527481i</v>
      </c>
      <c r="R412" s="160">
        <f t="shared" si="253"/>
        <v>1388.9019852714621</v>
      </c>
      <c r="S412" s="160">
        <f t="shared" si="254"/>
        <v>1.5700763335217911</v>
      </c>
      <c r="T412" s="160" t="str">
        <f t="shared" si="246"/>
        <v>1+0.0514408009361043i</v>
      </c>
      <c r="U412" s="160">
        <f t="shared" si="255"/>
        <v>1.001322203888912</v>
      </c>
      <c r="V412" s="160">
        <f t="shared" si="256"/>
        <v>5.1395499378012598E-2</v>
      </c>
      <c r="W412" s="98" t="str">
        <f t="shared" si="247"/>
        <v>1-0.408607780485367i</v>
      </c>
      <c r="X412" s="160">
        <f t="shared" si="257"/>
        <v>1.0802593754618277</v>
      </c>
      <c r="Y412" s="160">
        <f t="shared" si="258"/>
        <v>-0.38790478219260582</v>
      </c>
      <c r="Z412" s="98" t="str">
        <f t="shared" si="248"/>
        <v>0.846771352096113+0.788165475310913i</v>
      </c>
      <c r="AA412" s="160">
        <f t="shared" si="259"/>
        <v>1.1568174182656297</v>
      </c>
      <c r="AB412" s="160">
        <f t="shared" si="260"/>
        <v>0.74956754682447613</v>
      </c>
      <c r="AC412" s="171" t="str">
        <f t="shared" si="261"/>
        <v>-0.0647556743527335-0.034161489065994i</v>
      </c>
      <c r="AD412" s="190">
        <f t="shared" si="262"/>
        <v>-22.708105229813714</v>
      </c>
      <c r="AE412" s="169">
        <f t="shared" si="263"/>
        <v>-152.18636598944073</v>
      </c>
      <c r="AF412" s="98" t="str">
        <f t="shared" si="249"/>
        <v>-0.0000366300366300366</v>
      </c>
      <c r="AG412" s="98" t="str">
        <f t="shared" si="250"/>
        <v>0.037759736857353i</v>
      </c>
      <c r="AH412" s="98">
        <f t="shared" si="264"/>
        <v>3.7759736857353003E-2</v>
      </c>
      <c r="AI412" s="98">
        <f t="shared" si="265"/>
        <v>1.5707963267948966</v>
      </c>
      <c r="AJ412" s="98" t="str">
        <f t="shared" si="251"/>
        <v>1+5.39311511510189i</v>
      </c>
      <c r="AK412" s="98">
        <f t="shared" si="266"/>
        <v>5.4850424469406303</v>
      </c>
      <c r="AL412" s="98">
        <f t="shared" si="267"/>
        <v>1.3874569491118542</v>
      </c>
      <c r="AM412" s="98" t="str">
        <f t="shared" si="252"/>
        <v>1+372.124942942029i</v>
      </c>
      <c r="AN412" s="98">
        <f t="shared" si="268"/>
        <v>372.12628657434072</v>
      </c>
      <c r="AO412" s="98">
        <f t="shared" si="269"/>
        <v>1.5681090637886457</v>
      </c>
      <c r="AP412" s="168" t="str">
        <f t="shared" si="270"/>
        <v>-0.0118248873284847+0.064743060468571i</v>
      </c>
      <c r="AQ412" s="98">
        <f t="shared" si="271"/>
        <v>-23.633624995051861</v>
      </c>
      <c r="AR412" s="169">
        <f t="shared" si="272"/>
        <v>100.35060373109354</v>
      </c>
      <c r="AS412" s="168" t="str">
        <f t="shared" si="273"/>
        <v>0.0029774479053972-0.00378852478112348i</v>
      </c>
      <c r="AT412" s="190">
        <f t="shared" si="274"/>
        <v>-46.341730224865572</v>
      </c>
      <c r="AU412" s="169">
        <f t="shared" si="275"/>
        <v>-51.835762258347174</v>
      </c>
      <c r="AV412" s="225"/>
      <c r="AX412">
        <f t="shared" si="276"/>
        <v>0</v>
      </c>
      <c r="AY412">
        <f t="shared" si="277"/>
        <v>0</v>
      </c>
    </row>
    <row r="413" spans="14:51" x14ac:dyDescent="0.3">
      <c r="N413" s="170">
        <v>95</v>
      </c>
      <c r="O413" s="199">
        <f t="shared" si="243"/>
        <v>89125.093813374609</v>
      </c>
      <c r="P413" s="189" t="str">
        <f t="shared" si="244"/>
        <v>108.75</v>
      </c>
      <c r="Q413" s="160" t="str">
        <f t="shared" si="245"/>
        <v>1+1421.25330011106i</v>
      </c>
      <c r="R413" s="160">
        <f t="shared" si="253"/>
        <v>1421.2536519131902</v>
      </c>
      <c r="S413" s="160">
        <f t="shared" si="254"/>
        <v>1.5700927225641081</v>
      </c>
      <c r="T413" s="160" t="str">
        <f t="shared" si="246"/>
        <v>1+0.0526390111152247i</v>
      </c>
      <c r="U413" s="160">
        <f t="shared" si="255"/>
        <v>1.0013844743609663</v>
      </c>
      <c r="V413" s="160">
        <f t="shared" si="256"/>
        <v>5.2590473245056252E-2</v>
      </c>
      <c r="W413" s="98" t="str">
        <f t="shared" si="247"/>
        <v>1-0.418125478362069i</v>
      </c>
      <c r="X413" s="160">
        <f t="shared" si="257"/>
        <v>1.083895251237641</v>
      </c>
      <c r="Y413" s="160">
        <f t="shared" si="258"/>
        <v>-0.39603348676060923</v>
      </c>
      <c r="Z413" s="98" t="str">
        <f t="shared" si="248"/>
        <v>0.8395499084006+0.806524207643286i</v>
      </c>
      <c r="AA413" s="160">
        <f t="shared" si="259"/>
        <v>1.1641844124579603</v>
      </c>
      <c r="AB413" s="160">
        <f t="shared" si="260"/>
        <v>0.76533754148804223</v>
      </c>
      <c r="AC413" s="171" t="str">
        <f t="shared" si="261"/>
        <v>-0.0638366932074738-0.0318443117883929i</v>
      </c>
      <c r="AD413" s="190">
        <f t="shared" si="262"/>
        <v>-22.933518816157598</v>
      </c>
      <c r="AE413" s="169">
        <f t="shared" si="263"/>
        <v>-153.48813265500743</v>
      </c>
      <c r="AF413" s="98" t="str">
        <f t="shared" si="249"/>
        <v>-0.0000366300366300366</v>
      </c>
      <c r="AG413" s="98" t="str">
        <f t="shared" si="250"/>
        <v>0.0386392741164946i</v>
      </c>
      <c r="AH413" s="98">
        <f t="shared" si="264"/>
        <v>3.86392741164946E-2</v>
      </c>
      <c r="AI413" s="98">
        <f t="shared" si="265"/>
        <v>1.5707963267948966</v>
      </c>
      <c r="AJ413" s="98" t="str">
        <f t="shared" si="251"/>
        <v>1+5.51873690384718i</v>
      </c>
      <c r="AK413" s="98">
        <f t="shared" si="266"/>
        <v>5.6086056211757978</v>
      </c>
      <c r="AL413" s="98">
        <f t="shared" si="267"/>
        <v>1.3915404371182136</v>
      </c>
      <c r="AM413" s="98" t="str">
        <f t="shared" si="252"/>
        <v>1+380.792846365454i</v>
      </c>
      <c r="AN413" s="98">
        <f t="shared" si="268"/>
        <v>380.79415941306695</v>
      </c>
      <c r="AO413" s="98">
        <f t="shared" si="269"/>
        <v>1.5681702330781837</v>
      </c>
      <c r="AP413" s="168" t="str">
        <f t="shared" si="270"/>
        <v>-0.0113095985958199+0.0633626992618369i</v>
      </c>
      <c r="AQ413" s="98">
        <f t="shared" si="271"/>
        <v>-23.827124609134394</v>
      </c>
      <c r="AR413" s="169">
        <f t="shared" si="272"/>
        <v>100.12014184476318</v>
      </c>
      <c r="AS413" s="168" t="str">
        <f t="shared" si="273"/>
        <v>0.00273970892690914-0.00368471880968845i</v>
      </c>
      <c r="AT413" s="190">
        <f t="shared" si="274"/>
        <v>-46.760643425291988</v>
      </c>
      <c r="AU413" s="169">
        <f t="shared" si="275"/>
        <v>-53.367990810244251</v>
      </c>
      <c r="AV413" s="225"/>
      <c r="AX413">
        <f t="shared" si="276"/>
        <v>0</v>
      </c>
      <c r="AY413">
        <f t="shared" si="277"/>
        <v>0</v>
      </c>
    </row>
    <row r="414" spans="14:51" x14ac:dyDescent="0.3">
      <c r="N414" s="170">
        <v>96</v>
      </c>
      <c r="O414" s="199">
        <f t="shared" si="243"/>
        <v>91201.083935591028</v>
      </c>
      <c r="P414" s="189" t="str">
        <f t="shared" si="244"/>
        <v>108.75</v>
      </c>
      <c r="Q414" s="160" t="str">
        <f t="shared" si="245"/>
        <v>1+1454.35854225955i</v>
      </c>
      <c r="R414" s="160">
        <f t="shared" si="253"/>
        <v>1454.3588860536875</v>
      </c>
      <c r="S414" s="160">
        <f t="shared" si="254"/>
        <v>1.5701087385466412</v>
      </c>
      <c r="T414" s="160" t="str">
        <f t="shared" si="246"/>
        <v>1+0.0538651311947982i</v>
      </c>
      <c r="U414" s="160">
        <f t="shared" si="255"/>
        <v>1.0014496753999338</v>
      </c>
      <c r="V414" s="160">
        <f t="shared" si="256"/>
        <v>5.3813125995202951E-2</v>
      </c>
      <c r="W414" s="98" t="str">
        <f t="shared" si="247"/>
        <v>1-0.427864871901943i</v>
      </c>
      <c r="X414" s="160">
        <f t="shared" si="257"/>
        <v>1.0876894541217479</v>
      </c>
      <c r="Y414" s="160">
        <f t="shared" si="258"/>
        <v>-0.40429471504631304</v>
      </c>
      <c r="Z414" s="98" t="str">
        <f t="shared" si="248"/>
        <v>0.831988128548886+0.825310569786163i</v>
      </c>
      <c r="AA414" s="160">
        <f t="shared" si="259"/>
        <v>1.1718966603958896</v>
      </c>
      <c r="AB414" s="160">
        <f t="shared" si="260"/>
        <v>0.7813690027913397</v>
      </c>
      <c r="AC414" s="171" t="str">
        <f t="shared" si="261"/>
        <v>-0.0628936402781322-0.0295809331047932i</v>
      </c>
      <c r="AD414" s="190">
        <f t="shared" si="262"/>
        <v>-23.159951837758399</v>
      </c>
      <c r="AE414" s="169">
        <f t="shared" si="263"/>
        <v>-154.81086604728881</v>
      </c>
      <c r="AF414" s="98" t="str">
        <f t="shared" si="249"/>
        <v>-0.0000366300366300366</v>
      </c>
      <c r="AG414" s="98" t="str">
        <f t="shared" si="250"/>
        <v>0.0395392984302241i</v>
      </c>
      <c r="AH414" s="98">
        <f t="shared" si="264"/>
        <v>3.95392984302241E-2</v>
      </c>
      <c r="AI414" s="98">
        <f t="shared" si="265"/>
        <v>1.5707963267948966</v>
      </c>
      <c r="AJ414" s="98" t="str">
        <f t="shared" si="251"/>
        <v>1+5.647284799948i</v>
      </c>
      <c r="AK414" s="98">
        <f t="shared" si="266"/>
        <v>5.7351395459677983</v>
      </c>
      <c r="AL414" s="98">
        <f t="shared" si="267"/>
        <v>1.3955368213495383</v>
      </c>
      <c r="AM414" s="98" t="str">
        <f t="shared" si="252"/>
        <v>1+389.662651196411i</v>
      </c>
      <c r="AN414" s="98">
        <f t="shared" si="268"/>
        <v>389.66393435551083</v>
      </c>
      <c r="AO414" s="98">
        <f t="shared" si="269"/>
        <v>1.5682300100036892</v>
      </c>
      <c r="AP414" s="168" t="str">
        <f t="shared" si="270"/>
        <v>-0.0108160582593779+0.0620077824095816i</v>
      </c>
      <c r="AQ414" s="98">
        <f t="shared" si="271"/>
        <v>-24.020907689039429</v>
      </c>
      <c r="AR414" s="169">
        <f t="shared" si="272"/>
        <v>99.894590860539381</v>
      </c>
      <c r="AS414" s="168" t="str">
        <f t="shared" si="273"/>
        <v>0.00251450934082704-0.00357994606548472i</v>
      </c>
      <c r="AT414" s="190">
        <f t="shared" si="274"/>
        <v>-47.180859526797818</v>
      </c>
      <c r="AU414" s="169">
        <f t="shared" si="275"/>
        <v>-54.91627518674948</v>
      </c>
      <c r="AV414" s="225"/>
      <c r="AX414">
        <f t="shared" si="276"/>
        <v>0</v>
      </c>
      <c r="AY414">
        <f t="shared" si="277"/>
        <v>0</v>
      </c>
    </row>
    <row r="415" spans="14:51" x14ac:dyDescent="0.3">
      <c r="N415" s="170">
        <v>97</v>
      </c>
      <c r="O415" s="199">
        <f t="shared" si="243"/>
        <v>93325.430079699145</v>
      </c>
      <c r="P415" s="189" t="str">
        <f t="shared" si="244"/>
        <v>108.75</v>
      </c>
      <c r="Q415" s="160" t="str">
        <f t="shared" si="245"/>
        <v>1+1488.23490455785i</v>
      </c>
      <c r="R415" s="160">
        <f t="shared" si="253"/>
        <v>1488.2352405262793</v>
      </c>
      <c r="S415" s="160">
        <f t="shared" si="254"/>
        <v>1.5701243899612438</v>
      </c>
      <c r="T415" s="160" t="str">
        <f t="shared" si="246"/>
        <v>1+0.0551198112799204i</v>
      </c>
      <c r="U415" s="160">
        <f t="shared" si="255"/>
        <v>1.0015179447196811</v>
      </c>
      <c r="V415" s="160">
        <f t="shared" si="256"/>
        <v>5.5064091265082798E-2</v>
      </c>
      <c r="W415" s="98" t="str">
        <f t="shared" si="247"/>
        <v>1-0.437831125060361i</v>
      </c>
      <c r="X415" s="160">
        <f t="shared" si="257"/>
        <v>1.0916483380977693</v>
      </c>
      <c r="Y415" s="160">
        <f t="shared" si="258"/>
        <v>-0.41268833571963992</v>
      </c>
      <c r="Z415" s="98" t="str">
        <f t="shared" si="248"/>
        <v>0.824069972992081+0.844534522517417i</v>
      </c>
      <c r="AA415" s="160">
        <f t="shared" si="259"/>
        <v>1.1799702878085068</v>
      </c>
      <c r="AB415" s="160">
        <f t="shared" si="260"/>
        <v>0.79766201837293615</v>
      </c>
      <c r="AC415" s="171" t="str">
        <f t="shared" si="261"/>
        <v>-0.0619266905075863-0.0273716533906308i</v>
      </c>
      <c r="AD415" s="190">
        <f t="shared" si="262"/>
        <v>-23.387437942292671</v>
      </c>
      <c r="AE415" s="169">
        <f t="shared" si="263"/>
        <v>-156.15452784478927</v>
      </c>
      <c r="AF415" s="98" t="str">
        <f t="shared" si="249"/>
        <v>-0.0000366300366300366</v>
      </c>
      <c r="AG415" s="98" t="str">
        <f t="shared" si="250"/>
        <v>0.0404602870033457i</v>
      </c>
      <c r="AH415" s="98">
        <f t="shared" si="264"/>
        <v>4.0460287003345703E-2</v>
      </c>
      <c r="AI415" s="98">
        <f t="shared" si="265"/>
        <v>1.5707963267948966</v>
      </c>
      <c r="AJ415" s="98" t="str">
        <f t="shared" si="251"/>
        <v>1+5.77882696120041i</v>
      </c>
      <c r="AK415" s="98">
        <f t="shared" si="266"/>
        <v>5.8647115059051931</v>
      </c>
      <c r="AL415" s="98">
        <f t="shared" si="267"/>
        <v>1.399447709876309</v>
      </c>
      <c r="AM415" s="98" t="str">
        <f t="shared" si="252"/>
        <v>1+398.739060322827i</v>
      </c>
      <c r="AN415" s="98">
        <f t="shared" si="268"/>
        <v>398.74031427375269</v>
      </c>
      <c r="AO415" s="98">
        <f t="shared" si="269"/>
        <v>1.5682884262579695</v>
      </c>
      <c r="AP415" s="168" t="str">
        <f t="shared" si="270"/>
        <v>-0.0103434088147819+0.0606781028189622i</v>
      </c>
      <c r="AQ415" s="98">
        <f t="shared" si="271"/>
        <v>-24.214962253566746</v>
      </c>
      <c r="AR415" s="169">
        <f t="shared" si="272"/>
        <v>99.673860458634451</v>
      </c>
      <c r="AS415" s="168" t="str">
        <f t="shared" si="273"/>
        <v>0.00230139307522813-0.00347447789290157i</v>
      </c>
      <c r="AT415" s="190">
        <f t="shared" si="274"/>
        <v>-47.602400195859417</v>
      </c>
      <c r="AU415" s="169">
        <f t="shared" si="275"/>
        <v>-56.480667386154842</v>
      </c>
      <c r="AV415" s="225"/>
      <c r="AX415">
        <f t="shared" si="276"/>
        <v>0</v>
      </c>
      <c r="AY415">
        <f t="shared" si="277"/>
        <v>0</v>
      </c>
    </row>
    <row r="416" spans="14:51" x14ac:dyDescent="0.3">
      <c r="N416" s="170">
        <v>98</v>
      </c>
      <c r="O416" s="199">
        <f t="shared" si="243"/>
        <v>95499.258602143804</v>
      </c>
      <c r="P416" s="189" t="str">
        <f t="shared" si="244"/>
        <v>108.75</v>
      </c>
      <c r="Q416" s="160" t="str">
        <f t="shared" si="245"/>
        <v>1+1522.90034870166i</v>
      </c>
      <c r="R416" s="160">
        <f t="shared" si="253"/>
        <v>1522.9006770225162</v>
      </c>
      <c r="S416" s="160">
        <f t="shared" si="254"/>
        <v>1.5701396851064719</v>
      </c>
      <c r="T416" s="160" t="str">
        <f t="shared" si="246"/>
        <v>1+0.0564037166185803i</v>
      </c>
      <c r="U416" s="160">
        <f t="shared" si="255"/>
        <v>1.0015894264859175</v>
      </c>
      <c r="V416" s="160">
        <f t="shared" si="256"/>
        <v>5.6344016662940248E-2</v>
      </c>
      <c r="W416" s="98" t="str">
        <f t="shared" si="247"/>
        <v>1-0.448029522076667i</v>
      </c>
      <c r="X416" s="160">
        <f t="shared" si="257"/>
        <v>1.0957784687847478</v>
      </c>
      <c r="Y416" s="160">
        <f t="shared" si="258"/>
        <v>-0.42121406730169864</v>
      </c>
      <c r="Z416" s="98" t="str">
        <f t="shared" si="248"/>
        <v>0.815778646260642+0.864206258631247i</v>
      </c>
      <c r="AA416" s="160">
        <f t="shared" si="259"/>
        <v>1.188422171264178</v>
      </c>
      <c r="AB416" s="160">
        <f t="shared" si="260"/>
        <v>0.81421640173845244</v>
      </c>
      <c r="AC416" s="171" t="str">
        <f t="shared" si="261"/>
        <v>-0.0609360890809376-0.0252168155913397i</v>
      </c>
      <c r="AD416" s="190">
        <f t="shared" si="262"/>
        <v>-23.616011315238985</v>
      </c>
      <c r="AE416" s="169">
        <f t="shared" si="263"/>
        <v>-157.51905460486793</v>
      </c>
      <c r="AF416" s="98" t="str">
        <f t="shared" si="249"/>
        <v>-0.0000366300366300366</v>
      </c>
      <c r="AG416" s="98" t="str">
        <f t="shared" si="250"/>
        <v>0.0414027281561918i</v>
      </c>
      <c r="AH416" s="98">
        <f t="shared" si="264"/>
        <v>4.1402728156191802E-2</v>
      </c>
      <c r="AI416" s="98">
        <f t="shared" si="265"/>
        <v>1.5707963267948966</v>
      </c>
      <c r="AJ416" s="98" t="str">
        <f t="shared" si="251"/>
        <v>1+5.91343313299947i</v>
      </c>
      <c r="AK416" s="98">
        <f t="shared" si="266"/>
        <v>5.9973903840300347</v>
      </c>
      <c r="AL416" s="98">
        <f t="shared" si="267"/>
        <v>1.4032746975272403</v>
      </c>
      <c r="AM416" s="98" t="str">
        <f t="shared" si="252"/>
        <v>1+408.026886176962i</v>
      </c>
      <c r="AN416" s="98">
        <f t="shared" si="268"/>
        <v>408.02811158456655</v>
      </c>
      <c r="AO416" s="98">
        <f t="shared" si="269"/>
        <v>1.5683455128125003</v>
      </c>
      <c r="AP416" s="168" t="str">
        <f t="shared" si="270"/>
        <v>-0.00989082137948325+0.0593734360503234i</v>
      </c>
      <c r="AQ416" s="98">
        <f t="shared" si="271"/>
        <v>-24.409276795388873</v>
      </c>
      <c r="AR416" s="169">
        <f t="shared" si="272"/>
        <v>99.457861036628941</v>
      </c>
      <c r="AS416" s="168" t="str">
        <f t="shared" si="273"/>
        <v>0.00209991696056904-0.00336856996943055i</v>
      </c>
      <c r="AT416" s="190">
        <f t="shared" si="274"/>
        <v>-48.025288110627855</v>
      </c>
      <c r="AU416" s="169">
        <f t="shared" si="275"/>
        <v>-58.06119356823897</v>
      </c>
      <c r="AV416" s="225"/>
      <c r="AX416">
        <f t="shared" si="276"/>
        <v>0</v>
      </c>
      <c r="AY416">
        <f t="shared" si="277"/>
        <v>0</v>
      </c>
    </row>
    <row r="417" spans="14:51" x14ac:dyDescent="0.3">
      <c r="N417" s="170">
        <v>99</v>
      </c>
      <c r="O417" s="199">
        <f t="shared" si="243"/>
        <v>97723.722095581266</v>
      </c>
      <c r="P417" s="189" t="str">
        <f t="shared" si="244"/>
        <v>108.75</v>
      </c>
      <c r="Q417" s="160" t="str">
        <f t="shared" si="245"/>
        <v>1+1558.37325476833i</v>
      </c>
      <c r="R417" s="160">
        <f t="shared" si="253"/>
        <v>1558.3735756156927</v>
      </c>
      <c r="S417" s="160">
        <f t="shared" si="254"/>
        <v>1.5701546320919859</v>
      </c>
      <c r="T417" s="160" t="str">
        <f t="shared" si="246"/>
        <v>1+0.0577175279543827i</v>
      </c>
      <c r="U417" s="160">
        <f t="shared" si="255"/>
        <v>1.0016642716165756</v>
      </c>
      <c r="V417" s="160">
        <f t="shared" si="256"/>
        <v>5.7653564038380768E-2</v>
      </c>
      <c r="W417" s="98" t="str">
        <f t="shared" si="247"/>
        <v>1-0.458465470275948i</v>
      </c>
      <c r="X417" s="160">
        <f t="shared" si="257"/>
        <v>1.1000866272413941</v>
      </c>
      <c r="Y417" s="160">
        <f t="shared" si="258"/>
        <v>-0.42987147144899962</v>
      </c>
      <c r="Z417" s="98" t="str">
        <f t="shared" si="248"/>
        <v>0.807096561338935+0.884336208342522i</v>
      </c>
      <c r="AA417" s="160">
        <f t="shared" si="259"/>
        <v>1.197269973193499</v>
      </c>
      <c r="AB417" s="160">
        <f t="shared" si="260"/>
        <v>0.83103167947371759</v>
      </c>
      <c r="AC417" s="171" t="str">
        <f t="shared" si="261"/>
        <v>-0.059922154958594-0.0231168006603884i</v>
      </c>
      <c r="AD417" s="190">
        <f t="shared" si="262"/>
        <v>-23.845706642485172</v>
      </c>
      <c r="AE417" s="169">
        <f t="shared" si="263"/>
        <v>-158.9043566311195</v>
      </c>
      <c r="AF417" s="98" t="str">
        <f t="shared" si="249"/>
        <v>-0.0000366300366300366</v>
      </c>
      <c r="AG417" s="98" t="str">
        <f t="shared" si="250"/>
        <v>0.0423671215835362i</v>
      </c>
      <c r="AH417" s="98">
        <f t="shared" si="264"/>
        <v>4.2367121583536199E-2</v>
      </c>
      <c r="AI417" s="98">
        <f t="shared" si="265"/>
        <v>1.5707963267948966</v>
      </c>
      <c r="AJ417" s="98" t="str">
        <f t="shared" si="251"/>
        <v>1+6.05117468531918i</v>
      </c>
      <c r="AK417" s="98">
        <f t="shared" si="266"/>
        <v>6.1332466991184758</v>
      </c>
      <c r="AL417" s="98">
        <f t="shared" si="267"/>
        <v>1.4070193648016787</v>
      </c>
      <c r="AM417" s="98" t="str">
        <f t="shared" si="252"/>
        <v>1+417.531053287022i</v>
      </c>
      <c r="AN417" s="98">
        <f t="shared" si="268"/>
        <v>417.53225080102493</v>
      </c>
      <c r="AO417" s="98">
        <f t="shared" si="269"/>
        <v>1.568401299933839</v>
      </c>
      <c r="AP417" s="168" t="str">
        <f t="shared" si="270"/>
        <v>-0.00945749519569739+0.0580935419029718i</v>
      </c>
      <c r="AQ417" s="98">
        <f t="shared" si="271"/>
        <v>-24.603840265104328</v>
      </c>
      <c r="AR417" s="169">
        <f t="shared" si="272"/>
        <v>99.246503772726825</v>
      </c>
      <c r="AS417" s="168" t="str">
        <f t="shared" si="273"/>
        <v>0.00190965032046366-0.00326246318881793i</v>
      </c>
      <c r="AT417" s="190">
        <f t="shared" si="274"/>
        <v>-48.4495469075895</v>
      </c>
      <c r="AU417" s="169">
        <f t="shared" si="275"/>
        <v>-59.657852858392609</v>
      </c>
      <c r="AV417" s="225"/>
      <c r="AX417">
        <f t="shared" si="276"/>
        <v>0</v>
      </c>
      <c r="AY417">
        <f t="shared" si="277"/>
        <v>0</v>
      </c>
    </row>
    <row r="418" spans="14:51" x14ac:dyDescent="0.3">
      <c r="N418" s="170">
        <v>100</v>
      </c>
      <c r="O418" s="199">
        <f t="shared" si="243"/>
        <v>100000</v>
      </c>
      <c r="P418" s="189" t="str">
        <f t="shared" si="244"/>
        <v>108.75</v>
      </c>
      <c r="Q418" s="160" t="str">
        <f t="shared" si="245"/>
        <v>1+1594.67243096218i</v>
      </c>
      <c r="R418" s="160">
        <f t="shared" si="253"/>
        <v>1594.6727445061661</v>
      </c>
      <c r="S418" s="160">
        <f t="shared" si="254"/>
        <v>1.5701692388428481</v>
      </c>
      <c r="T418" s="160" t="str">
        <f t="shared" si="246"/>
        <v>1+0.0590619418874883i</v>
      </c>
      <c r="U418" s="160">
        <f t="shared" si="255"/>
        <v>1.0017426380959937</v>
      </c>
      <c r="V418" s="160">
        <f t="shared" si="256"/>
        <v>5.8993409754496975E-2</v>
      </c>
      <c r="W418" s="98" t="str">
        <f t="shared" si="247"/>
        <v>1-0.469144502936078i</v>
      </c>
      <c r="X418" s="160">
        <f t="shared" si="257"/>
        <v>1.1045798136101981</v>
      </c>
      <c r="Y418" s="160">
        <f t="shared" si="258"/>
        <v>-0.43865994637159722</v>
      </c>
      <c r="Z418" s="98" t="str">
        <f t="shared" si="248"/>
        <v>0.798005302360814+0.904935044817036i</v>
      </c>
      <c r="AA418" s="160">
        <f t="shared" si="259"/>
        <v>1.2065321785737773</v>
      </c>
      <c r="AB418" s="160">
        <f t="shared" si="260"/>
        <v>0.84810707864548807</v>
      </c>
      <c r="AC418" s="171" t="str">
        <f t="shared" si="261"/>
        <v>-0.0588852842061841-0.0210720225808724i</v>
      </c>
      <c r="AD418" s="190">
        <f t="shared" si="262"/>
        <v>-24.076559068947581</v>
      </c>
      <c r="AE418" s="169">
        <f t="shared" si="263"/>
        <v>-160.31031685902929</v>
      </c>
      <c r="AF418" s="98" t="str">
        <f t="shared" si="249"/>
        <v>-0.0000366300366300366</v>
      </c>
      <c r="AG418" s="98" t="str">
        <f t="shared" si="250"/>
        <v>0.0433539786195391i</v>
      </c>
      <c r="AH418" s="98">
        <f t="shared" si="264"/>
        <v>4.3353978619539102E-2</v>
      </c>
      <c r="AI418" s="98">
        <f t="shared" si="265"/>
        <v>1.5707963267948966</v>
      </c>
      <c r="AJ418" s="98" t="str">
        <f t="shared" si="251"/>
        <v>1+6.19212465055381i</v>
      </c>
      <c r="AK418" s="98">
        <f t="shared" si="266"/>
        <v>6.2723526437849575</v>
      </c>
      <c r="AL418" s="98">
        <f t="shared" si="267"/>
        <v>1.4106832768821589</v>
      </c>
      <c r="AM418" s="98" t="str">
        <f t="shared" si="252"/>
        <v>1+427.256600888211i</v>
      </c>
      <c r="AN418" s="98">
        <f t="shared" si="268"/>
        <v>427.25777114354281</v>
      </c>
      <c r="AO418" s="98">
        <f t="shared" si="269"/>
        <v>1.5684558171996665</v>
      </c>
      <c r="AP418" s="168" t="str">
        <f t="shared" si="270"/>
        <v>-0.00904265709651135+0.0568381659131333i</v>
      </c>
      <c r="AQ418" s="98">
        <f t="shared" si="271"/>
        <v>-24.798642055580448</v>
      </c>
      <c r="AR418" s="169">
        <f t="shared" si="272"/>
        <v>99.039700683250786</v>
      </c>
      <c r="AS418" s="168" t="str">
        <f t="shared" si="273"/>
        <v>0.00173017454868406-0.00315638447902433i</v>
      </c>
      <c r="AT418" s="190">
        <f t="shared" si="274"/>
        <v>-48.875201124528019</v>
      </c>
      <c r="AU418" s="169">
        <f t="shared" si="275"/>
        <v>-61.270616175778464</v>
      </c>
      <c r="AV418" s="225"/>
      <c r="AX418">
        <f t="shared" si="276"/>
        <v>0</v>
      </c>
      <c r="AY418">
        <f t="shared" si="277"/>
        <v>0</v>
      </c>
    </row>
    <row r="419" spans="14:51" x14ac:dyDescent="0.3">
      <c r="N419" s="170">
        <v>1</v>
      </c>
      <c r="O419" s="199">
        <f>10^(5+(N419/100))</f>
        <v>102329.29922807543</v>
      </c>
      <c r="P419" s="189" t="str">
        <f t="shared" si="244"/>
        <v>108.75</v>
      </c>
      <c r="Q419" s="160" t="str">
        <f t="shared" si="245"/>
        <v>1+1631.81712358691i</v>
      </c>
      <c r="R419" s="160">
        <f t="shared" si="253"/>
        <v>1631.8174299937652</v>
      </c>
      <c r="S419" s="160">
        <f t="shared" si="254"/>
        <v>1.5701835131037265</v>
      </c>
      <c r="T419" s="160" t="str">
        <f t="shared" si="246"/>
        <v>1+0.0604376712439599i</v>
      </c>
      <c r="U419" s="160">
        <f t="shared" si="255"/>
        <v>1.00182469130352</v>
      </c>
      <c r="V419" s="160">
        <f t="shared" si="256"/>
        <v>6.0364244962156761E-2</v>
      </c>
      <c r="W419" s="98" t="str">
        <f t="shared" si="247"/>
        <v>1-0.480072282221526i</v>
      </c>
      <c r="X419" s="160">
        <f t="shared" si="257"/>
        <v>1.1092652505858933</v>
      </c>
      <c r="Y419" s="160">
        <f t="shared" si="258"/>
        <v>-0.44757872042964081</v>
      </c>
      <c r="Z419" s="98" t="str">
        <f t="shared" si="248"/>
        <v>0.788485585547099+0.926013689830542i</v>
      </c>
      <c r="AA419" s="160">
        <f t="shared" si="259"/>
        <v>1.2162281333570306</v>
      </c>
      <c r="AB419" s="160">
        <f t="shared" si="260"/>
        <v>0.86544151446612472</v>
      </c>
      <c r="AC419" s="171" t="str">
        <f t="shared" si="261"/>
        <v>-0.0578259530733334-0.0190829229719981i</v>
      </c>
      <c r="AD419" s="190">
        <f t="shared" si="262"/>
        <v>-24.308604153108227</v>
      </c>
      <c r="AE419" s="169">
        <f t="shared" si="263"/>
        <v>-161.73678976684596</v>
      </c>
      <c r="AF419" s="98" t="str">
        <f t="shared" si="249"/>
        <v>-0.0000366300366300366</v>
      </c>
      <c r="AG419" s="98" t="str">
        <f t="shared" si="250"/>
        <v>0.0443638225088641i</v>
      </c>
      <c r="AH419" s="98">
        <f t="shared" si="264"/>
        <v>4.4363822508864101E-2</v>
      </c>
      <c r="AI419" s="98">
        <f t="shared" si="265"/>
        <v>1.5707963267948966</v>
      </c>
      <c r="AJ419" s="98" t="str">
        <f t="shared" si="251"/>
        <v>1+6.33635776224062i</v>
      </c>
      <c r="AK419" s="98">
        <f t="shared" si="266"/>
        <v>6.4147821234323281</v>
      </c>
      <c r="AL419" s="98">
        <f t="shared" si="267"/>
        <v>1.4142679827415163</v>
      </c>
      <c r="AM419" s="98" t="str">
        <f t="shared" si="252"/>
        <v>1+437.208685594602i</v>
      </c>
      <c r="AN419" s="98">
        <f t="shared" si="268"/>
        <v>437.20982921174078</v>
      </c>
      <c r="AO419" s="98">
        <f t="shared" si="269"/>
        <v>1.5685090935144612</v>
      </c>
      <c r="AP419" s="168" t="str">
        <f t="shared" si="270"/>
        <v>-0.00864556094080171+0.0556070407669175i</v>
      </c>
      <c r="AQ419" s="98">
        <f t="shared" si="271"/>
        <v>-24.993671986605573</v>
      </c>
      <c r="AR419" s="169">
        <f t="shared" si="272"/>
        <v>98.837364674699558</v>
      </c>
      <c r="AS419" s="168" t="str">
        <f t="shared" si="273"/>
        <v>0.00156108267691129-0.00305054755645167i</v>
      </c>
      <c r="AT419" s="190">
        <f t="shared" si="274"/>
        <v>-49.302276139713811</v>
      </c>
      <c r="AU419" s="169">
        <f t="shared" si="275"/>
        <v>-62.899425092146366</v>
      </c>
      <c r="AV419" s="225"/>
      <c r="AX419">
        <f t="shared" si="276"/>
        <v>0</v>
      </c>
      <c r="AY419">
        <f t="shared" si="277"/>
        <v>0</v>
      </c>
    </row>
    <row r="420" spans="14:51" x14ac:dyDescent="0.3">
      <c r="N420" s="170">
        <v>2</v>
      </c>
      <c r="O420" s="199">
        <f t="shared" ref="O420:O483" si="278">10^(5+(N420/100))</f>
        <v>104712.85480508996</v>
      </c>
      <c r="P420" s="189" t="str">
        <f t="shared" si="244"/>
        <v>108.75</v>
      </c>
      <c r="Q420" s="160" t="str">
        <f t="shared" si="245"/>
        <v>1+1669.82702725022i</v>
      </c>
      <c r="R420" s="160">
        <f t="shared" si="253"/>
        <v>1669.8273266824049</v>
      </c>
      <c r="S420" s="160">
        <f t="shared" si="254"/>
        <v>1.570197462443</v>
      </c>
      <c r="T420" s="160" t="str">
        <f t="shared" si="246"/>
        <v>1+0.0618454454537122i</v>
      </c>
      <c r="U420" s="160">
        <f t="shared" si="255"/>
        <v>1.0019106043571793</v>
      </c>
      <c r="V420" s="160">
        <f t="shared" si="256"/>
        <v>6.1766775876217157E-2</v>
      </c>
      <c r="W420" s="98" t="str">
        <f t="shared" si="247"/>
        <v>1-0.491254602185516i</v>
      </c>
      <c r="X420" s="160">
        <f t="shared" si="257"/>
        <v>1.1141503866931293</v>
      </c>
      <c r="Y420" s="160">
        <f t="shared" si="258"/>
        <v>-0.4566268459553855</v>
      </c>
      <c r="Z420" s="98" t="str">
        <f t="shared" si="248"/>
        <v>0.778517218302097+0.947583319559638i</v>
      </c>
      <c r="AA420" s="160">
        <f t="shared" si="259"/>
        <v>1.2263780847277472</v>
      </c>
      <c r="AB420" s="160">
        <f t="shared" si="260"/>
        <v>0.88303357830315854</v>
      </c>
      <c r="AC420" s="171" t="str">
        <f t="shared" si="261"/>
        <v>-0.0567447207713431-0.0171499652869815i</v>
      </c>
      <c r="AD420" s="190">
        <f t="shared" si="262"/>
        <v>-24.541877817392781</v>
      </c>
      <c r="AE420" s="169">
        <f t="shared" si="263"/>
        <v>-163.18360031901761</v>
      </c>
      <c r="AF420" s="98" t="str">
        <f t="shared" si="249"/>
        <v>-0.0000366300366300366</v>
      </c>
      <c r="AG420" s="98" t="str">
        <f t="shared" si="250"/>
        <v>0.0453971886841078i</v>
      </c>
      <c r="AH420" s="98">
        <f t="shared" si="264"/>
        <v>4.5397188684107803E-2</v>
      </c>
      <c r="AI420" s="98">
        <f t="shared" si="265"/>
        <v>1.5707963267948966</v>
      </c>
      <c r="AJ420" s="98" t="str">
        <f t="shared" si="251"/>
        <v>1+6.48395049468459i</v>
      </c>
      <c r="AK420" s="98">
        <f t="shared" si="266"/>
        <v>6.5606107960707858</v>
      </c>
      <c r="AL420" s="98">
        <f t="shared" si="267"/>
        <v>1.4177750143391423</v>
      </c>
      <c r="AM420" s="98" t="str">
        <f t="shared" si="252"/>
        <v>1+447.392584133236i</v>
      </c>
      <c r="AN420" s="98">
        <f t="shared" si="268"/>
        <v>447.39370171853642</v>
      </c>
      <c r="AO420" s="98">
        <f t="shared" si="269"/>
        <v>1.5685611571248204</v>
      </c>
      <c r="AP420" s="168" t="str">
        <f t="shared" si="270"/>
        <v>-0.00826548702213831+0.0543998876312381i</v>
      </c>
      <c r="AQ420" s="98">
        <f t="shared" si="271"/>
        <v>-25.188920289865319</v>
      </c>
      <c r="AR420" s="169">
        <f t="shared" si="272"/>
        <v>98.639409590676394</v>
      </c>
      <c r="AS420" s="168" t="str">
        <f t="shared" si="273"/>
        <v>0.00140197893760183-0.00294515361811738i</v>
      </c>
      <c r="AT420" s="190">
        <f t="shared" si="274"/>
        <v>-49.730798107258096</v>
      </c>
      <c r="AU420" s="169">
        <f t="shared" si="275"/>
        <v>-64.544190728341178</v>
      </c>
      <c r="AV420" s="225"/>
      <c r="AX420">
        <f t="shared" si="276"/>
        <v>0</v>
      </c>
      <c r="AY420">
        <f t="shared" si="277"/>
        <v>0</v>
      </c>
    </row>
    <row r="421" spans="14:51" x14ac:dyDescent="0.3">
      <c r="N421" s="170">
        <v>3</v>
      </c>
      <c r="O421" s="199">
        <f t="shared" si="278"/>
        <v>107151.93052376082</v>
      </c>
      <c r="P421" s="189" t="str">
        <f t="shared" si="244"/>
        <v>108.75</v>
      </c>
      <c r="Q421" s="160" t="str">
        <f t="shared" si="245"/>
        <v>1+1708.72229530616i</v>
      </c>
      <c r="R421" s="160">
        <f t="shared" si="253"/>
        <v>1708.7225879224372</v>
      </c>
      <c r="S421" s="160">
        <f t="shared" si="254"/>
        <v>1.5702110942567709</v>
      </c>
      <c r="T421" s="160" t="str">
        <f t="shared" si="246"/>
        <v>1+0.0632860109372654i</v>
      </c>
      <c r="U421" s="160">
        <f t="shared" si="255"/>
        <v>1.0020005584730738</v>
      </c>
      <c r="V421" s="160">
        <f t="shared" si="256"/>
        <v>6.3201724053401298E-2</v>
      </c>
      <c r="W421" s="98" t="str">
        <f t="shared" si="247"/>
        <v>1-0.502697391842109i</v>
      </c>
      <c r="X421" s="160">
        <f t="shared" si="257"/>
        <v>1.1192428993586956</v>
      </c>
      <c r="Y421" s="160">
        <f t="shared" si="258"/>
        <v>-0.46580319334995707</v>
      </c>
      <c r="Z421" s="98" t="str">
        <f t="shared" si="248"/>
        <v>0.7680790563824+0.969655370507513i</v>
      </c>
      <c r="AA421" s="160">
        <f t="shared" si="259"/>
        <v>1.2370032232809018</v>
      </c>
      <c r="AB421" s="160">
        <f t="shared" si="260"/>
        <v>0.90088152611872163</v>
      </c>
      <c r="AC421" s="171" t="str">
        <f t="shared" si="261"/>
        <v>-0.0556422318983279-0.0152736286145727i</v>
      </c>
      <c r="AD421" s="190">
        <f t="shared" si="262"/>
        <v>-24.776416294333444</v>
      </c>
      <c r="AE421" s="169">
        <f t="shared" si="263"/>
        <v>-164.65054294989756</v>
      </c>
      <c r="AF421" s="98" t="str">
        <f t="shared" si="249"/>
        <v>-0.0000366300366300366</v>
      </c>
      <c r="AG421" s="98" t="str">
        <f t="shared" si="250"/>
        <v>0.0464546250496947i</v>
      </c>
      <c r="AH421" s="98">
        <f t="shared" si="264"/>
        <v>4.6454625049694699E-2</v>
      </c>
      <c r="AI421" s="98">
        <f t="shared" si="265"/>
        <v>1.5707963267948966</v>
      </c>
      <c r="AJ421" s="98" t="str">
        <f t="shared" si="251"/>
        <v>1+6.63498110350608i</v>
      </c>
      <c r="AK421" s="98">
        <f t="shared" si="266"/>
        <v>6.7099161130287444</v>
      </c>
      <c r="AL421" s="98">
        <f t="shared" si="267"/>
        <v>1.42120588590116</v>
      </c>
      <c r="AM421" s="98" t="str">
        <f t="shared" si="252"/>
        <v>1+457.813696141918i</v>
      </c>
      <c r="AN421" s="98">
        <f t="shared" si="268"/>
        <v>457.81478828793246</v>
      </c>
      <c r="AO421" s="98">
        <f t="shared" si="269"/>
        <v>1.5686120356344295</v>
      </c>
      <c r="AP421" s="168" t="str">
        <f t="shared" si="270"/>
        <v>-0.00790174145640849+0.0532164174056956i</v>
      </c>
      <c r="AQ421" s="98">
        <f t="shared" si="271"/>
        <v>-25.384377594258112</v>
      </c>
      <c r="AR421" s="169">
        <f t="shared" si="272"/>
        <v>98.445750253989786</v>
      </c>
      <c r="AS421" s="168" t="str">
        <f t="shared" si="273"/>
        <v>0.00125247832617079-0.00284039197367237i</v>
      </c>
      <c r="AT421" s="190">
        <f t="shared" si="274"/>
        <v>-50.160793888591556</v>
      </c>
      <c r="AU421" s="169">
        <f t="shared" si="275"/>
        <v>-66.20479269590777</v>
      </c>
      <c r="AV421" s="225"/>
      <c r="AX421">
        <f t="shared" si="276"/>
        <v>0</v>
      </c>
      <c r="AY421">
        <f t="shared" si="277"/>
        <v>0</v>
      </c>
    </row>
    <row r="422" spans="14:51" x14ac:dyDescent="0.3">
      <c r="N422" s="170">
        <v>4</v>
      </c>
      <c r="O422" s="199">
        <f t="shared" si="278"/>
        <v>109647.81961431868</v>
      </c>
      <c r="P422" s="189" t="str">
        <f t="shared" si="244"/>
        <v>108.75</v>
      </c>
      <c r="Q422" s="160" t="str">
        <f t="shared" si="245"/>
        <v>1+1748.52355054068i</v>
      </c>
      <c r="R422" s="160">
        <f t="shared" si="253"/>
        <v>1748.5238364961988</v>
      </c>
      <c r="S422" s="160">
        <f t="shared" si="254"/>
        <v>1.5702244157727869</v>
      </c>
      <c r="T422" s="160" t="str">
        <f t="shared" si="246"/>
        <v>1+0.0647601315015069i</v>
      </c>
      <c r="U422" s="160">
        <f t="shared" si="255"/>
        <v>1.0020947433412135</v>
      </c>
      <c r="V422" s="160">
        <f t="shared" si="256"/>
        <v>6.4669826671548331E-2</v>
      </c>
      <c r="W422" s="98" t="str">
        <f t="shared" si="247"/>
        <v>1-0.514406718309842i</v>
      </c>
      <c r="X422" s="160">
        <f t="shared" si="257"/>
        <v>1.1245506977643565</v>
      </c>
      <c r="Y422" s="160">
        <f t="shared" si="258"/>
        <v>-0.47510644550620112</v>
      </c>
      <c r="Z422" s="98" t="str">
        <f t="shared" si="248"/>
        <v>0.757148959047108+0.992241545567737i</v>
      </c>
      <c r="AA422" s="160">
        <f t="shared" si="259"/>
        <v>1.2481257272153199</v>
      </c>
      <c r="AB422" s="160">
        <f t="shared" si="260"/>
        <v>0.91898326742755376</v>
      </c>
      <c r="AC422" s="171" t="str">
        <f t="shared" si="261"/>
        <v>-0.0545192184594985-0.0134544011025399i</v>
      </c>
      <c r="AD422" s="190">
        <f t="shared" si="262"/>
        <v>-25.012256068485556</v>
      </c>
      <c r="AE422" s="169">
        <f t="shared" si="263"/>
        <v>-166.13738059576232</v>
      </c>
      <c r="AF422" s="98" t="str">
        <f t="shared" si="249"/>
        <v>-0.0000366300366300366</v>
      </c>
      <c r="AG422" s="98" t="str">
        <f t="shared" si="250"/>
        <v>0.0475366922723826i</v>
      </c>
      <c r="AH422" s="98">
        <f t="shared" si="264"/>
        <v>4.7536692272382601E-2</v>
      </c>
      <c r="AI422" s="98">
        <f t="shared" si="265"/>
        <v>1.5707963267948966</v>
      </c>
      <c r="AJ422" s="98" t="str">
        <f t="shared" si="251"/>
        <v>1+6.789529667133i</v>
      </c>
      <c r="AK422" s="98">
        <f t="shared" si="266"/>
        <v>6.8627773605792539</v>
      </c>
      <c r="AL422" s="98">
        <f t="shared" si="267"/>
        <v>1.4245620932794971</v>
      </c>
      <c r="AM422" s="98" t="str">
        <f t="shared" si="252"/>
        <v>1+468.477547032175i</v>
      </c>
      <c r="AN422" s="98">
        <f t="shared" si="268"/>
        <v>468.47861431796832</v>
      </c>
      <c r="AO422" s="98">
        <f t="shared" si="269"/>
        <v>1.5686617560186937</v>
      </c>
      <c r="AP422" s="168" t="str">
        <f t="shared" si="270"/>
        <v>-0.00755365555248285+0.0520563318985029i</v>
      </c>
      <c r="AQ422" s="98">
        <f t="shared" si="271"/>
        <v>-25.580034911559043</v>
      </c>
      <c r="AR422" s="169">
        <f t="shared" si="272"/>
        <v>98.256302504214517</v>
      </c>
      <c r="AS422" s="168" t="str">
        <f t="shared" si="273"/>
        <v>0.00111220616652302-0.00273644061938111i</v>
      </c>
      <c r="AT422" s="190">
        <f t="shared" si="274"/>
        <v>-50.592290980044588</v>
      </c>
      <c r="AU422" s="169">
        <f t="shared" si="275"/>
        <v>-67.881078091547749</v>
      </c>
      <c r="AV422" s="225"/>
      <c r="AX422">
        <f t="shared" si="276"/>
        <v>0</v>
      </c>
      <c r="AY422">
        <f t="shared" si="277"/>
        <v>0</v>
      </c>
    </row>
    <row r="423" spans="14:51" x14ac:dyDescent="0.3">
      <c r="N423" s="170">
        <v>5</v>
      </c>
      <c r="O423" s="199">
        <f t="shared" si="278"/>
        <v>112201.84543019651</v>
      </c>
      <c r="P423" s="189" t="str">
        <f t="shared" si="244"/>
        <v>108.75</v>
      </c>
      <c r="Q423" s="160" t="str">
        <f t="shared" si="245"/>
        <v>1+1789.25189610614i</v>
      </c>
      <c r="R423" s="160">
        <f t="shared" si="253"/>
        <v>1789.2521755525177</v>
      </c>
      <c r="S423" s="160">
        <f t="shared" si="254"/>
        <v>1.5702374340542737</v>
      </c>
      <c r="T423" s="160" t="str">
        <f t="shared" si="246"/>
        <v>1+0.0662685887446721i</v>
      </c>
      <c r="U423" s="160">
        <f t="shared" si="255"/>
        <v>1.0021933575185031</v>
      </c>
      <c r="V423" s="160">
        <f t="shared" si="256"/>
        <v>6.6171836809919407E-2</v>
      </c>
      <c r="W423" s="98" t="str">
        <f t="shared" si="247"/>
        <v>1-0.526388790028601i</v>
      </c>
      <c r="X423" s="160">
        <f t="shared" si="257"/>
        <v>1.1300819254672532</v>
      </c>
      <c r="Y423" s="160">
        <f t="shared" si="258"/>
        <v>-0.48453509261062722</v>
      </c>
      <c r="Z423" s="98" t="str">
        <f t="shared" si="248"/>
        <v>0.745703742094348+1.01535382022929i</v>
      </c>
      <c r="AA423" s="160">
        <f t="shared" si="259"/>
        <v>1.2597688086421759</v>
      </c>
      <c r="AB423" s="160">
        <f t="shared" si="260"/>
        <v>0.93733635486540468</v>
      </c>
      <c r="AC423" s="171" t="str">
        <f t="shared" si="261"/>
        <v>-0.0533765014301256-0.0116927730279821i</v>
      </c>
      <c r="AD423" s="190">
        <f t="shared" si="262"/>
        <v>-25.249433814090882</v>
      </c>
      <c r="AE423" s="169">
        <f t="shared" si="263"/>
        <v>-167.643843783459</v>
      </c>
      <c r="AF423" s="98" t="str">
        <f t="shared" si="249"/>
        <v>-0.0000366300366300366</v>
      </c>
      <c r="AG423" s="98" t="str">
        <f t="shared" si="250"/>
        <v>0.0486439640785358i</v>
      </c>
      <c r="AH423" s="98">
        <f t="shared" si="264"/>
        <v>4.8643964078535801E-2</v>
      </c>
      <c r="AI423" s="98">
        <f t="shared" si="265"/>
        <v>1.5707963267948966</v>
      </c>
      <c r="AJ423" s="98" t="str">
        <f t="shared" si="251"/>
        <v>1+6.94767812925948i</v>
      </c>
      <c r="AK423" s="98">
        <f t="shared" si="266"/>
        <v>7.0192757025059578</v>
      </c>
      <c r="AL423" s="98">
        <f t="shared" si="267"/>
        <v>1.4278451133850325</v>
      </c>
      <c r="AM423" s="98" t="str">
        <f t="shared" si="252"/>
        <v>1+479.389790918903i</v>
      </c>
      <c r="AN423" s="98">
        <f t="shared" si="268"/>
        <v>479.39083391035911</v>
      </c>
      <c r="AO423" s="98">
        <f t="shared" si="269"/>
        <v>1.5687103446390349</v>
      </c>
      <c r="AP423" s="168" t="str">
        <f t="shared" si="270"/>
        <v>-0.00722058516984882+0.0509193249295428i</v>
      </c>
      <c r="AQ423" s="98">
        <f t="shared" si="271"/>
        <v>-25.775883622441409</v>
      </c>
      <c r="AR423" s="169">
        <f t="shared" si="272"/>
        <v>98.070983230988659</v>
      </c>
      <c r="AS423" s="168" t="str">
        <f t="shared" si="273"/>
        <v>0.000980797683783994-0.00263346675640252i</v>
      </c>
      <c r="AT423" s="190">
        <f t="shared" si="274"/>
        <v>-51.025317436532276</v>
      </c>
      <c r="AU423" s="169">
        <f t="shared" si="275"/>
        <v>-69.57286055247036</v>
      </c>
      <c r="AV423" s="225"/>
      <c r="AX423">
        <f t="shared" si="276"/>
        <v>0</v>
      </c>
      <c r="AY423">
        <f t="shared" si="277"/>
        <v>0</v>
      </c>
    </row>
    <row r="424" spans="14:51" x14ac:dyDescent="0.3">
      <c r="N424" s="170">
        <v>6</v>
      </c>
      <c r="O424" s="199">
        <f t="shared" si="278"/>
        <v>114815.36214968823</v>
      </c>
      <c r="P424" s="189" t="str">
        <f t="shared" si="244"/>
        <v>108.75</v>
      </c>
      <c r="Q424" s="160" t="str">
        <f t="shared" si="245"/>
        <v>1+1830.92892671046i</v>
      </c>
      <c r="R424" s="160">
        <f t="shared" si="253"/>
        <v>1830.9291997958624</v>
      </c>
      <c r="S424" s="160">
        <f t="shared" si="254"/>
        <v>1.5702501560036783</v>
      </c>
      <c r="T424" s="160" t="str">
        <f t="shared" si="246"/>
        <v>1+0.067812182470758i</v>
      </c>
      <c r="U424" s="160">
        <f t="shared" si="255"/>
        <v>1.0022966088396426</v>
      </c>
      <c r="V424" s="160">
        <f t="shared" si="256"/>
        <v>6.7708523730210274E-2</v>
      </c>
      <c r="W424" s="98" t="str">
        <f t="shared" si="247"/>
        <v>1-0.538649960051412i</v>
      </c>
      <c r="X424" s="160">
        <f t="shared" si="257"/>
        <v>1.1358449627759009</v>
      </c>
      <c r="Y424" s="160">
        <f t="shared" si="258"/>
        <v>-0.49408742737871231</v>
      </c>
      <c r="Z424" s="98" t="str">
        <f t="shared" si="248"/>
        <v>0.73371912868448+1.03900444892612i</v>
      </c>
      <c r="AA424" s="160">
        <f t="shared" si="259"/>
        <v>1.271956762113313</v>
      </c>
      <c r="AB424" s="160">
        <f t="shared" si="260"/>
        <v>0.9559379744622114</v>
      </c>
      <c r="AC424" s="171" t="str">
        <f t="shared" si="261"/>
        <v>-0.0522149918093741-0.0099892295461945i</v>
      </c>
      <c r="AD424" s="190">
        <f t="shared" si="262"/>
        <v>-25.487986328506437</v>
      </c>
      <c r="AE424" s="169">
        <f t="shared" si="263"/>
        <v>-169.16962978421378</v>
      </c>
      <c r="AF424" s="98" t="str">
        <f t="shared" si="249"/>
        <v>-0.0000366300366300366</v>
      </c>
      <c r="AG424" s="98" t="str">
        <f t="shared" si="250"/>
        <v>0.0497770275583223i</v>
      </c>
      <c r="AH424" s="98">
        <f t="shared" si="264"/>
        <v>4.97770275583223E-2</v>
      </c>
      <c r="AI424" s="98">
        <f t="shared" si="265"/>
        <v>1.5707963267948966</v>
      </c>
      <c r="AJ424" s="98" t="str">
        <f t="shared" si="251"/>
        <v>1+7.10951034229346i</v>
      </c>
      <c r="AK424" s="98">
        <f t="shared" si="266"/>
        <v>7.1794942236328643</v>
      </c>
      <c r="AL424" s="98">
        <f t="shared" si="267"/>
        <v>1.4310564036901892</v>
      </c>
      <c r="AM424" s="98" t="str">
        <f t="shared" si="252"/>
        <v>1+490.556213618248i</v>
      </c>
      <c r="AN424" s="98">
        <f t="shared" si="268"/>
        <v>490.55723286837002</v>
      </c>
      <c r="AO424" s="98">
        <f t="shared" si="269"/>
        <v>1.5687578272568647</v>
      </c>
      <c r="AP424" s="168" t="str">
        <f t="shared" si="270"/>
        <v>-0.00690191006677483+0.0498050833636582i</v>
      </c>
      <c r="AQ424" s="98">
        <f t="shared" si="271"/>
        <v>-25.97191546286205</v>
      </c>
      <c r="AR424" s="169">
        <f t="shared" si="272"/>
        <v>97.889710403313771</v>
      </c>
      <c r="AS424" s="168" t="str">
        <f t="shared" si="273"/>
        <v>0.000857897587892619-0.0025316272559344i</v>
      </c>
      <c r="AT424" s="190">
        <f t="shared" si="274"/>
        <v>-51.459901791368495</v>
      </c>
      <c r="AU424" s="169">
        <f t="shared" si="275"/>
        <v>-71.279919380899983</v>
      </c>
      <c r="AV424" s="225"/>
      <c r="AX424">
        <f t="shared" si="276"/>
        <v>0</v>
      </c>
      <c r="AY424">
        <f t="shared" si="277"/>
        <v>0</v>
      </c>
    </row>
    <row r="425" spans="14:51" x14ac:dyDescent="0.3">
      <c r="N425" s="170">
        <v>7</v>
      </c>
      <c r="O425" s="199">
        <f t="shared" si="278"/>
        <v>117489.75549395311</v>
      </c>
      <c r="P425" s="189" t="str">
        <f t="shared" si="244"/>
        <v>108.75</v>
      </c>
      <c r="Q425" s="160" t="str">
        <f t="shared" si="245"/>
        <v>1+1873.57674006694i</v>
      </c>
      <c r="R425" s="160">
        <f t="shared" si="253"/>
        <v>1873.5770069361606</v>
      </c>
      <c r="S425" s="160">
        <f t="shared" si="254"/>
        <v>1.5702625883663306</v>
      </c>
      <c r="T425" s="160" t="str">
        <f t="shared" si="246"/>
        <v>1+0.0693917311135906i</v>
      </c>
      <c r="U425" s="160">
        <f t="shared" si="255"/>
        <v>1.0024047148467234</v>
      </c>
      <c r="V425" s="160">
        <f t="shared" si="256"/>
        <v>6.9280673157890174E-2</v>
      </c>
      <c r="W425" s="98" t="str">
        <f t="shared" si="247"/>
        <v>1-0.551196729412919i</v>
      </c>
      <c r="X425" s="160">
        <f t="shared" si="257"/>
        <v>1.1418484288711432</v>
      </c>
      <c r="Y425" s="160">
        <f t="shared" si="258"/>
        <v>-0.50376154077869972</v>
      </c>
      <c r="Z425" s="98" t="str">
        <f t="shared" si="248"/>
        <v>0.72116969784565+1.06320597153463i</v>
      </c>
      <c r="AA425" s="160">
        <f t="shared" si="259"/>
        <v>1.2847150154791849</v>
      </c>
      <c r="AB425" s="160">
        <f t="shared" si="260"/>
        <v>0.97478493671629018</v>
      </c>
      <c r="AC425" s="171" t="str">
        <f t="shared" si="261"/>
        <v>-0.0510356911146991-0.00834424315685784i</v>
      </c>
      <c r="AD425" s="190">
        <f t="shared" si="262"/>
        <v>-25.727950461451353</v>
      </c>
      <c r="AE425" s="169">
        <f t="shared" si="263"/>
        <v>-170.71440184130421</v>
      </c>
      <c r="AF425" s="98" t="str">
        <f t="shared" si="249"/>
        <v>-0.0000366300366300366</v>
      </c>
      <c r="AG425" s="98" t="str">
        <f t="shared" si="250"/>
        <v>0.0509364834769972i</v>
      </c>
      <c r="AH425" s="98">
        <f t="shared" si="264"/>
        <v>5.0936483476997203E-2</v>
      </c>
      <c r="AI425" s="98">
        <f t="shared" si="265"/>
        <v>1.5707963267948966</v>
      </c>
      <c r="AJ425" s="98" t="str">
        <f t="shared" si="251"/>
        <v>1+7.27511211181646i</v>
      </c>
      <c r="AK425" s="98">
        <f t="shared" si="266"/>
        <v>7.3435179743429897</v>
      </c>
      <c r="AL425" s="98">
        <f t="shared" si="267"/>
        <v>1.4341974017965589</v>
      </c>
      <c r="AM425" s="98" t="str">
        <f t="shared" si="252"/>
        <v>1+501.982735715334i</v>
      </c>
      <c r="AN425" s="98">
        <f t="shared" si="268"/>
        <v>501.9837317645372</v>
      </c>
      <c r="AO425" s="98">
        <f t="shared" si="269"/>
        <v>1.5688042290472384</v>
      </c>
      <c r="AP425" s="168" t="str">
        <f t="shared" si="270"/>
        <v>-0.00659703324222025+0.0487132880772589i</v>
      </c>
      <c r="AQ425" s="98">
        <f t="shared" si="271"/>
        <v>-26.168122510814857</v>
      </c>
      <c r="AR425" s="169">
        <f t="shared" si="272"/>
        <v>97.712403095110503</v>
      </c>
      <c r="AS425" s="168" t="str">
        <f t="shared" si="273"/>
        <v>0.000743159671510067-0.00243106907400538i</v>
      </c>
      <c r="AT425" s="190">
        <f t="shared" si="274"/>
        <v>-51.896072972266211</v>
      </c>
      <c r="AU425" s="169">
        <f t="shared" si="275"/>
        <v>-73.001998746193706</v>
      </c>
      <c r="AV425" s="225"/>
      <c r="AX425">
        <f t="shared" si="276"/>
        <v>0</v>
      </c>
      <c r="AY425">
        <f t="shared" si="277"/>
        <v>0</v>
      </c>
    </row>
    <row r="426" spans="14:51" x14ac:dyDescent="0.3">
      <c r="N426" s="170">
        <v>8</v>
      </c>
      <c r="O426" s="199">
        <f t="shared" si="278"/>
        <v>120226.44346174144</v>
      </c>
      <c r="P426" s="189" t="str">
        <f t="shared" si="244"/>
        <v>108.75</v>
      </c>
      <c r="Q426" s="160" t="str">
        <f t="shared" si="245"/>
        <v>1+1917.21794861072i</v>
      </c>
      <c r="R426" s="160">
        <f t="shared" si="253"/>
        <v>1917.2182094052564</v>
      </c>
      <c r="S426" s="160">
        <f t="shared" si="254"/>
        <v>1.5702747377340183</v>
      </c>
      <c r="T426" s="160" t="str">
        <f t="shared" si="246"/>
        <v>1+0.0710080721707676i</v>
      </c>
      <c r="U426" s="160">
        <f t="shared" si="255"/>
        <v>1.0025179032383456</v>
      </c>
      <c r="V426" s="160">
        <f t="shared" si="256"/>
        <v>7.0889087563447098E-2</v>
      </c>
      <c r="W426" s="98" t="str">
        <f t="shared" si="247"/>
        <v>1-0.564035750576311i</v>
      </c>
      <c r="X426" s="160">
        <f t="shared" si="257"/>
        <v>1.1481011836629131</v>
      </c>
      <c r="Y426" s="160">
        <f t="shared" si="258"/>
        <v>-0.51355531829931034</v>
      </c>
      <c r="Z426" s="98" t="str">
        <f t="shared" si="248"/>
        <v>0.708028830552522+1.08797122002244i</v>
      </c>
      <c r="AA426" s="160">
        <f t="shared" si="259"/>
        <v>1.2980701831914516</v>
      </c>
      <c r="AB426" s="160">
        <f t="shared" si="260"/>
        <v>0.99387366856670933</v>
      </c>
      <c r="AC426" s="171" t="str">
        <f t="shared" si="261"/>
        <v>-0.0498396912690079-0.00675826593353464i</v>
      </c>
      <c r="AD426" s="190">
        <f t="shared" si="262"/>
        <v>-25.969363040149315</v>
      </c>
      <c r="AE426" s="169">
        <f t="shared" si="263"/>
        <v>-172.277788480357</v>
      </c>
      <c r="AF426" s="98" t="str">
        <f t="shared" si="249"/>
        <v>-0.0000366300366300366</v>
      </c>
      <c r="AG426" s="98" t="str">
        <f t="shared" si="250"/>
        <v>0.0521229465934357i</v>
      </c>
      <c r="AH426" s="98">
        <f t="shared" si="264"/>
        <v>5.21229465934357E-2</v>
      </c>
      <c r="AI426" s="98">
        <f t="shared" si="265"/>
        <v>1.5707963267948966</v>
      </c>
      <c r="AJ426" s="98" t="str">
        <f t="shared" si="251"/>
        <v>1+7.44457124207862i</v>
      </c>
      <c r="AK426" s="98">
        <f t="shared" si="266"/>
        <v>7.5114340161106385</v>
      </c>
      <c r="AL426" s="98">
        <f t="shared" si="267"/>
        <v>1.4372695250633178</v>
      </c>
      <c r="AM426" s="98" t="str">
        <f t="shared" si="252"/>
        <v>1+513.675415703423i</v>
      </c>
      <c r="AN426" s="98">
        <f t="shared" si="268"/>
        <v>513.67638907982177</v>
      </c>
      <c r="AO426" s="98">
        <f t="shared" si="269"/>
        <v>1.5688495746121998</v>
      </c>
      <c r="AP426" s="168" t="str">
        <f t="shared" si="270"/>
        <v>-0.00630538027438794+0.0476436148613i</v>
      </c>
      <c r="AQ426" s="98">
        <f t="shared" si="271"/>
        <v>-26.364497173454712</v>
      </c>
      <c r="AR426" s="169">
        <f t="shared" si="272"/>
        <v>97.538981507273164</v>
      </c>
      <c r="AS426" s="168" t="str">
        <f t="shared" si="273"/>
        <v>0.000636246425476756-0.00233192961892033i</v>
      </c>
      <c r="AT426" s="190">
        <f t="shared" si="274"/>
        <v>-52.333860213604027</v>
      </c>
      <c r="AU426" s="169">
        <f t="shared" si="275"/>
        <v>-74.738806973083825</v>
      </c>
      <c r="AV426" s="225"/>
      <c r="AX426">
        <f t="shared" si="276"/>
        <v>0</v>
      </c>
      <c r="AY426">
        <f t="shared" si="277"/>
        <v>0</v>
      </c>
    </row>
    <row r="427" spans="14:51" x14ac:dyDescent="0.3">
      <c r="N427" s="170">
        <v>9</v>
      </c>
      <c r="O427" s="199">
        <f t="shared" si="278"/>
        <v>123026.87708123829</v>
      </c>
      <c r="P427" s="189" t="str">
        <f t="shared" si="244"/>
        <v>108.75</v>
      </c>
      <c r="Q427" s="160" t="str">
        <f t="shared" si="245"/>
        <v>1+1961.87569148823i</v>
      </c>
      <c r="R427" s="160">
        <f t="shared" si="253"/>
        <v>1961.8759463463587</v>
      </c>
      <c r="S427" s="160">
        <f t="shared" si="254"/>
        <v>1.5702866105484825</v>
      </c>
      <c r="T427" s="160" t="str">
        <f t="shared" si="246"/>
        <v>1+0.0726620626477125i</v>
      </c>
      <c r="U427" s="160">
        <f t="shared" si="255"/>
        <v>1.0026364123390992</v>
      </c>
      <c r="V427" s="160">
        <f t="shared" si="256"/>
        <v>7.2534586443091381E-2</v>
      </c>
      <c r="W427" s="98" t="str">
        <f t="shared" si="247"/>
        <v>1-0.577173830960554i</v>
      </c>
      <c r="X427" s="160">
        <f t="shared" si="257"/>
        <v>1.1546123293753978</v>
      </c>
      <c r="Y427" s="160">
        <f t="shared" si="258"/>
        <v>-0.52346643681658533</v>
      </c>
      <c r="Z427" s="98" t="str">
        <f t="shared" si="248"/>
        <v>0.694268653263739+1.1133133252521i</v>
      </c>
      <c r="AA427" s="160">
        <f t="shared" si="259"/>
        <v>1.3120501221708465</v>
      </c>
      <c r="AB427" s="160">
        <f t="shared" si="260"/>
        <v>1.0132002063613588</v>
      </c>
      <c r="AC427" s="171" t="str">
        <f t="shared" si="261"/>
        <v>-0.0486281738362554-0.00523172156959711i</v>
      </c>
      <c r="AD427" s="190">
        <f t="shared" si="262"/>
        <v>-26.212260790482556</v>
      </c>
      <c r="AE427" s="169">
        <f t="shared" si="263"/>
        <v>-173.85938291104702</v>
      </c>
      <c r="AF427" s="98" t="str">
        <f t="shared" si="249"/>
        <v>-0.0000366300366300366</v>
      </c>
      <c r="AG427" s="98" t="str">
        <f t="shared" si="250"/>
        <v>0.0533370459860867i</v>
      </c>
      <c r="AH427" s="98">
        <f t="shared" si="264"/>
        <v>5.3337045986086698E-2</v>
      </c>
      <c r="AI427" s="98">
        <f t="shared" si="265"/>
        <v>1.5707963267948966</v>
      </c>
      <c r="AJ427" s="98" t="str">
        <f t="shared" si="251"/>
        <v>1+7.61797758255388i</v>
      </c>
      <c r="AK427" s="98">
        <f t="shared" si="266"/>
        <v>7.6833314680738223</v>
      </c>
      <c r="AL427" s="98">
        <f t="shared" si="267"/>
        <v>1.4402741702924293</v>
      </c>
      <c r="AM427" s="98" t="str">
        <f t="shared" si="252"/>
        <v>1+525.640453196216i</v>
      </c>
      <c r="AN427" s="98">
        <f t="shared" si="268"/>
        <v>525.64140441590348</v>
      </c>
      <c r="AO427" s="98">
        <f t="shared" si="269"/>
        <v>1.5688938879938215</v>
      </c>
      <c r="AP427" s="168" t="str">
        <f t="shared" si="270"/>
        <v>-0.0060263986585145+0.0465957352636337i</v>
      </c>
      <c r="AQ427" s="98">
        <f t="shared" si="271"/>
        <v>-26.561032174594171</v>
      </c>
      <c r="AR427" s="169">
        <f t="shared" si="272"/>
        <v>97.369366986453826</v>
      </c>
      <c r="AS427" s="168" t="str">
        <f t="shared" si="273"/>
        <v>0.000536828674802809-0.00223433707457937i</v>
      </c>
      <c r="AT427" s="190">
        <f t="shared" si="274"/>
        <v>-52.773292965076735</v>
      </c>
      <c r="AU427" s="169">
        <f t="shared" si="275"/>
        <v>-76.490015924593152</v>
      </c>
      <c r="AV427" s="225"/>
      <c r="AX427">
        <f t="shared" si="276"/>
        <v>0</v>
      </c>
      <c r="AY427">
        <f t="shared" si="277"/>
        <v>0</v>
      </c>
    </row>
    <row r="428" spans="14:51" x14ac:dyDescent="0.3">
      <c r="N428" s="170">
        <v>10</v>
      </c>
      <c r="O428" s="199">
        <f t="shared" si="278"/>
        <v>125892.54117941685</v>
      </c>
      <c r="P428" s="189" t="str">
        <f t="shared" si="244"/>
        <v>108.75</v>
      </c>
      <c r="Q428" s="160" t="str">
        <f t="shared" si="245"/>
        <v>1+2007.57364682587i</v>
      </c>
      <c r="R428" s="160">
        <f t="shared" si="253"/>
        <v>2007.5738958827201</v>
      </c>
      <c r="S428" s="160">
        <f t="shared" si="254"/>
        <v>1.5702982131048333</v>
      </c>
      <c r="T428" s="160" t="str">
        <f t="shared" si="246"/>
        <v>1+0.0743545795120694i</v>
      </c>
      <c r="U428" s="160">
        <f t="shared" si="255"/>
        <v>1.0027604915902983</v>
      </c>
      <c r="V428" s="160">
        <f t="shared" si="256"/>
        <v>7.4218006598417083E-2</v>
      </c>
      <c r="W428" s="98" t="str">
        <f t="shared" si="247"/>
        <v>1-0.590617936549772i</v>
      </c>
      <c r="X428" s="160">
        <f t="shared" si="257"/>
        <v>1.1613912118551228</v>
      </c>
      <c r="Y428" s="160">
        <f t="shared" si="258"/>
        <v>-0.53349236211417972</v>
      </c>
      <c r="Z428" s="98" t="str">
        <f t="shared" si="248"/>
        <v>0.679859978798413+1.13924572394326i</v>
      </c>
      <c r="AA428" s="160">
        <f t="shared" si="259"/>
        <v>1.3266839903665006</v>
      </c>
      <c r="AB428" s="160">
        <f t="shared" si="260"/>
        <v>1.0327601899172232</v>
      </c>
      <c r="AC428" s="171" t="str">
        <f t="shared" si="261"/>
        <v>-0.0474024085657094-0.00376499730072941i</v>
      </c>
      <c r="AD428" s="190">
        <f t="shared" si="262"/>
        <v>-26.456680254304622</v>
      </c>
      <c r="AE428" s="169">
        <f t="shared" si="263"/>
        <v>-175.45874252887216</v>
      </c>
      <c r="AF428" s="98" t="str">
        <f t="shared" si="249"/>
        <v>-0.0000366300366300366</v>
      </c>
      <c r="AG428" s="98" t="str">
        <f t="shared" si="250"/>
        <v>0.0545794253865189i</v>
      </c>
      <c r="AH428" s="98">
        <f t="shared" si="264"/>
        <v>5.4579425386518901E-2</v>
      </c>
      <c r="AI428" s="98">
        <f t="shared" si="265"/>
        <v>1.5707963267948966</v>
      </c>
      <c r="AJ428" s="98" t="str">
        <f t="shared" si="251"/>
        <v>1+7.79542307557927i</v>
      </c>
      <c r="AK428" s="98">
        <f t="shared" si="266"/>
        <v>7.8593015546722587</v>
      </c>
      <c r="AL428" s="98">
        <f t="shared" si="267"/>
        <v>1.4432127134667756</v>
      </c>
      <c r="AM428" s="98" t="str">
        <f t="shared" si="252"/>
        <v>1+537.884192214968i</v>
      </c>
      <c r="AN428" s="98">
        <f t="shared" si="268"/>
        <v>537.88512178228984</v>
      </c>
      <c r="AO428" s="98">
        <f t="shared" si="269"/>
        <v>1.568937192686948</v>
      </c>
      <c r="AP428" s="168" t="str">
        <f t="shared" si="270"/>
        <v>-0.00575955714621787+0.0455693173736919i</v>
      </c>
      <c r="AQ428" s="98">
        <f t="shared" si="271"/>
        <v>-26.757720542571267</v>
      </c>
      <c r="AR428" s="169">
        <f t="shared" si="272"/>
        <v>97.203482040796118</v>
      </c>
      <c r="AS428" s="168" t="str">
        <f t="shared" si="273"/>
        <v>0.000444585237910603-0.00213841068309932i</v>
      </c>
      <c r="AT428" s="190">
        <f t="shared" si="274"/>
        <v>-53.214400796875871</v>
      </c>
      <c r="AU428" s="169">
        <f t="shared" si="275"/>
        <v>-78.255260488076047</v>
      </c>
      <c r="AV428" s="225"/>
      <c r="AX428">
        <f t="shared" si="276"/>
        <v>0</v>
      </c>
      <c r="AY428">
        <f t="shared" si="277"/>
        <v>0</v>
      </c>
    </row>
    <row r="429" spans="14:51" x14ac:dyDescent="0.3">
      <c r="N429" s="170">
        <v>11</v>
      </c>
      <c r="O429" s="199">
        <f t="shared" si="278"/>
        <v>128824.95516931375</v>
      </c>
      <c r="P429" s="189" t="str">
        <f t="shared" si="244"/>
        <v>108.75</v>
      </c>
      <c r="Q429" s="160" t="str">
        <f t="shared" si="245"/>
        <v>1+2054.33604428443i</v>
      </c>
      <c r="R429" s="160">
        <f t="shared" si="253"/>
        <v>2054.3362876720548</v>
      </c>
      <c r="S429" s="160">
        <f t="shared" si="254"/>
        <v>1.5703095515548873</v>
      </c>
      <c r="T429" s="160" t="str">
        <f t="shared" si="246"/>
        <v>1+0.0760865201586829i</v>
      </c>
      <c r="U429" s="160">
        <f t="shared" si="255"/>
        <v>1.0028904020628864</v>
      </c>
      <c r="V429" s="160">
        <f t="shared" si="256"/>
        <v>7.5940202414487429E-2</v>
      </c>
      <c r="W429" s="98" t="str">
        <f t="shared" si="247"/>
        <v>1-0.604375195586701i</v>
      </c>
      <c r="X429" s="160">
        <f t="shared" si="257"/>
        <v>1.16844742159862</v>
      </c>
      <c r="Y429" s="160">
        <f t="shared" si="258"/>
        <v>-0.54363034710993996</v>
      </c>
      <c r="Z429" s="98" t="str">
        <f t="shared" si="248"/>
        <v>0.664772244426197+1.16578216579695i</v>
      </c>
      <c r="AA429" s="160">
        <f t="shared" si="259"/>
        <v>1.3420023081387269</v>
      </c>
      <c r="AB429" s="160">
        <f t="shared" si="260"/>
        <v>1.052548857767613</v>
      </c>
      <c r="AC429" s="171" t="str">
        <f t="shared" si="261"/>
        <v>-0.046163751210764-0.00235843577083663i</v>
      </c>
      <c r="AD429" s="190">
        <f t="shared" si="262"/>
        <v>-26.702657703092395</v>
      </c>
      <c r="AE429" s="169">
        <f t="shared" si="263"/>
        <v>-177.07538852548805</v>
      </c>
      <c r="AF429" s="98" t="str">
        <f t="shared" si="249"/>
        <v>-0.0000366300366300366</v>
      </c>
      <c r="AG429" s="98" t="str">
        <f t="shared" si="250"/>
        <v>0.0558507435207352i</v>
      </c>
      <c r="AH429" s="98">
        <f t="shared" si="264"/>
        <v>5.5850743520735199E-2</v>
      </c>
      <c r="AI429" s="98">
        <f t="shared" si="265"/>
        <v>1.5707963267948966</v>
      </c>
      <c r="AJ429" s="98" t="str">
        <f t="shared" si="251"/>
        <v>1+7.97700180510396i</v>
      </c>
      <c r="AK429" s="98">
        <f t="shared" si="266"/>
        <v>8.0394376543780623</v>
      </c>
      <c r="AL429" s="98">
        <f t="shared" si="267"/>
        <v>1.4460865095375861</v>
      </c>
      <c r="AM429" s="98" t="str">
        <f t="shared" si="252"/>
        <v>1+550.413124552172i</v>
      </c>
      <c r="AN429" s="98">
        <f t="shared" si="268"/>
        <v>550.41403295999351</v>
      </c>
      <c r="AO429" s="98">
        <f t="shared" si="269"/>
        <v>1.5689795116516514</v>
      </c>
      <c r="AP429" s="168" t="str">
        <f t="shared" si="270"/>
        <v>-0.005504345088463+0.0445640265523791i</v>
      </c>
      <c r="AQ429" s="98">
        <f t="shared" si="271"/>
        <v>-26.954555598487964</v>
      </c>
      <c r="AR429" s="169">
        <f t="shared" si="272"/>
        <v>97.0412503528282</v>
      </c>
      <c r="AS429" s="168" t="str">
        <f t="shared" si="273"/>
        <v>0.000359202611555641-0.00204426099036225i</v>
      </c>
      <c r="AT429" s="190">
        <f t="shared" si="274"/>
        <v>-53.657213301580356</v>
      </c>
      <c r="AU429" s="169">
        <f t="shared" si="275"/>
        <v>-80.034138172659837</v>
      </c>
      <c r="AV429" s="225"/>
      <c r="AX429">
        <f t="shared" si="276"/>
        <v>0</v>
      </c>
      <c r="AY429">
        <f t="shared" si="277"/>
        <v>0</v>
      </c>
    </row>
    <row r="430" spans="14:51" x14ac:dyDescent="0.3">
      <c r="N430" s="170">
        <v>12</v>
      </c>
      <c r="O430" s="199">
        <f t="shared" si="278"/>
        <v>131825.67385564081</v>
      </c>
      <c r="P430" s="189" t="str">
        <f t="shared" si="244"/>
        <v>108.75</v>
      </c>
      <c r="Q430" s="160" t="str">
        <f t="shared" si="245"/>
        <v>1+2102.18767790602i</v>
      </c>
      <c r="R430" s="160">
        <f t="shared" si="253"/>
        <v>2102.1879157534668</v>
      </c>
      <c r="S430" s="160">
        <f t="shared" si="254"/>
        <v>1.5703206319104286</v>
      </c>
      <c r="T430" s="160" t="str">
        <f t="shared" si="246"/>
        <v>1+0.0778588028854083i</v>
      </c>
      <c r="U430" s="160">
        <f t="shared" si="255"/>
        <v>1.0030264169934653</v>
      </c>
      <c r="V430" s="160">
        <f t="shared" si="256"/>
        <v>7.7702046135760247E-2</v>
      </c>
      <c r="W430" s="98" t="str">
        <f t="shared" si="247"/>
        <v>1-0.61845290235218i</v>
      </c>
      <c r="X430" s="160">
        <f t="shared" si="257"/>
        <v>1.1757907944986792</v>
      </c>
      <c r="Y430" s="160">
        <f t="shared" si="258"/>
        <v>-0.55387743083938068</v>
      </c>
      <c r="Z430" s="98" t="str">
        <f t="shared" si="248"/>
        <v>0.648973447039643+1.1929367207859i</v>
      </c>
      <c r="AA430" s="160">
        <f t="shared" si="259"/>
        <v>1.3580370226035567</v>
      </c>
      <c r="AB430" s="160">
        <f t="shared" si="260"/>
        <v>1.0725610436882116</v>
      </c>
      <c r="AC430" s="171" t="str">
        <f t="shared" si="261"/>
        <v>-0.0449136405948585-0.00101232691438543i</v>
      </c>
      <c r="AD430" s="190">
        <f t="shared" si="262"/>
        <v>-26.950229048159606</v>
      </c>
      <c r="AE430" s="169">
        <f t="shared" si="263"/>
        <v>-178.70880561580108</v>
      </c>
      <c r="AF430" s="98" t="str">
        <f t="shared" si="249"/>
        <v>-0.0000366300366300366</v>
      </c>
      <c r="AG430" s="98" t="str">
        <f t="shared" si="250"/>
        <v>0.0571516744584379i</v>
      </c>
      <c r="AH430" s="98">
        <f t="shared" si="264"/>
        <v>5.7151674458437898E-2</v>
      </c>
      <c r="AI430" s="98">
        <f t="shared" si="265"/>
        <v>1.5707963267948966</v>
      </c>
      <c r="AJ430" s="98" t="str">
        <f t="shared" si="251"/>
        <v>1+8.16281004657379i</v>
      </c>
      <c r="AK430" s="98">
        <f t="shared" si="266"/>
        <v>8.2238353495462206</v>
      </c>
      <c r="AL430" s="98">
        <f t="shared" si="267"/>
        <v>1.4488968922576968</v>
      </c>
      <c r="AM430" s="98" t="str">
        <f t="shared" si="252"/>
        <v>1+563.23389321359i</v>
      </c>
      <c r="AN430" s="98">
        <f t="shared" si="268"/>
        <v>563.23478094355801</v>
      </c>
      <c r="AO430" s="98">
        <f t="shared" si="269"/>
        <v>1.5690208673253998</v>
      </c>
      <c r="AP430" s="168" t="str">
        <f t="shared" si="270"/>
        <v>-0.00526027178396945+0.0435795261099864i</v>
      </c>
      <c r="AQ430" s="98">
        <f t="shared" si="271"/>
        <v>-27.15153094481639</v>
      </c>
      <c r="AR430" s="169">
        <f t="shared" si="272"/>
        <v>96.882596789714057</v>
      </c>
      <c r="AS430" s="168" t="str">
        <f t="shared" si="273"/>
        <v>0.000280374683533781-0.00195199005829429i</v>
      </c>
      <c r="AT430" s="190">
        <f t="shared" si="274"/>
        <v>-54.101759992975985</v>
      </c>
      <c r="AU430" s="169">
        <f t="shared" si="275"/>
        <v>-81.826208826087012</v>
      </c>
      <c r="AV430" s="225"/>
      <c r="AX430">
        <f t="shared" si="276"/>
        <v>0</v>
      </c>
      <c r="AY430">
        <f t="shared" si="277"/>
        <v>0</v>
      </c>
    </row>
    <row r="431" spans="14:51" x14ac:dyDescent="0.3">
      <c r="N431" s="170">
        <v>13</v>
      </c>
      <c r="O431" s="199">
        <f t="shared" si="278"/>
        <v>134896.28825916545</v>
      </c>
      <c r="P431" s="189" t="str">
        <f t="shared" si="244"/>
        <v>108.75</v>
      </c>
      <c r="Q431" s="160" t="str">
        <f t="shared" si="245"/>
        <v>1+2151.15391926018i</v>
      </c>
      <c r="R431" s="160">
        <f t="shared" si="253"/>
        <v>2151.1541516935586</v>
      </c>
      <c r="S431" s="160">
        <f t="shared" si="254"/>
        <v>1.570331460046398</v>
      </c>
      <c r="T431" s="160" t="str">
        <f t="shared" si="246"/>
        <v>1+0.0796723673800069i</v>
      </c>
      <c r="U431" s="160">
        <f t="shared" si="255"/>
        <v>1.0031688223444422</v>
      </c>
      <c r="V431" s="160">
        <f t="shared" si="256"/>
        <v>7.9504428139224065E-2</v>
      </c>
      <c r="W431" s="98" t="str">
        <f t="shared" si="247"/>
        <v>1-0.632858521032679i</v>
      </c>
      <c r="X431" s="160">
        <f t="shared" si="257"/>
        <v>1.1834314123106882</v>
      </c>
      <c r="Y431" s="160">
        <f t="shared" si="258"/>
        <v>-0.56423043824372232</v>
      </c>
      <c r="Z431" s="98" t="str">
        <f t="shared" si="248"/>
        <v>0.632430075271309+1.22072378661459i</v>
      </c>
      <c r="AA431" s="160">
        <f t="shared" si="259"/>
        <v>1.3748215750832311</v>
      </c>
      <c r="AB431" s="160">
        <f t="shared" si="260"/>
        <v>1.0927911745895929</v>
      </c>
      <c r="AC431" s="171" t="str">
        <f t="shared" si="261"/>
        <v>-0.0436535949048666+0.000273100066241378i</v>
      </c>
      <c r="AD431" s="190">
        <f t="shared" si="262"/>
        <v>-27.199429747682498</v>
      </c>
      <c r="AE431" s="169">
        <f t="shared" si="263"/>
        <v>179.6415581103939</v>
      </c>
      <c r="AF431" s="98" t="str">
        <f t="shared" si="249"/>
        <v>-0.0000366300366300366</v>
      </c>
      <c r="AG431" s="98" t="str">
        <f t="shared" si="250"/>
        <v>0.0584829079704305i</v>
      </c>
      <c r="AH431" s="98">
        <f t="shared" si="264"/>
        <v>5.84829079704305E-2</v>
      </c>
      <c r="AI431" s="98">
        <f t="shared" si="265"/>
        <v>1.5707963267948966</v>
      </c>
      <c r="AJ431" s="98" t="str">
        <f t="shared" si="251"/>
        <v>1+8.35294631797789i</v>
      </c>
      <c r="AK431" s="98">
        <f t="shared" si="266"/>
        <v>8.4125924774126783</v>
      </c>
      <c r="AL431" s="98">
        <f t="shared" si="267"/>
        <v>1.4516451740573615</v>
      </c>
      <c r="AM431" s="98" t="str">
        <f t="shared" si="252"/>
        <v>1+576.353295940473i</v>
      </c>
      <c r="AN431" s="98">
        <f t="shared" si="268"/>
        <v>576.35416346327065</v>
      </c>
      <c r="AO431" s="98">
        <f t="shared" si="269"/>
        <v>1.5690612816349527</v>
      </c>
      <c r="AP431" s="168" t="str">
        <f t="shared" si="270"/>
        <v>-0.00502686583466381+0.0426154779348564i</v>
      </c>
      <c r="AQ431" s="98">
        <f t="shared" si="271"/>
        <v>-27.348640454369153</v>
      </c>
      <c r="AR431" s="169">
        <f t="shared" si="272"/>
        <v>96.727447411050008</v>
      </c>
      <c r="AS431" s="168" t="str">
        <f t="shared" si="273"/>
        <v>0.000207802474940611-0.00186169164783794i</v>
      </c>
      <c r="AT431" s="190">
        <f t="shared" si="274"/>
        <v>-54.548070202051633</v>
      </c>
      <c r="AU431" s="169">
        <f t="shared" si="275"/>
        <v>-83.63099447855609</v>
      </c>
      <c r="AV431" s="225"/>
      <c r="AX431">
        <f t="shared" si="276"/>
        <v>0</v>
      </c>
      <c r="AY431">
        <f t="shared" si="277"/>
        <v>0</v>
      </c>
    </row>
    <row r="432" spans="14:51" x14ac:dyDescent="0.3">
      <c r="N432" s="170">
        <v>14</v>
      </c>
      <c r="O432" s="199">
        <f t="shared" si="278"/>
        <v>138038.42646028858</v>
      </c>
      <c r="P432" s="189" t="str">
        <f t="shared" si="244"/>
        <v>108.75</v>
      </c>
      <c r="Q432" s="160" t="str">
        <f t="shared" si="245"/>
        <v>1+2201.26073089622i</v>
      </c>
      <c r="R432" s="160">
        <f t="shared" si="253"/>
        <v>2201.2609580387693</v>
      </c>
      <c r="S432" s="160">
        <f t="shared" si="254"/>
        <v>1.5703420417040064</v>
      </c>
      <c r="T432" s="160" t="str">
        <f t="shared" si="246"/>
        <v>1+0.0815281752183788i</v>
      </c>
      <c r="U432" s="160">
        <f t="shared" si="255"/>
        <v>1.0033179173893181</v>
      </c>
      <c r="V432" s="160">
        <f t="shared" si="256"/>
        <v>8.1348257204055294E-2</v>
      </c>
      <c r="W432" s="98" t="str">
        <f t="shared" si="247"/>
        <v>1-0.647599689677903i</v>
      </c>
      <c r="X432" s="160">
        <f t="shared" si="257"/>
        <v>1.19137960284324</v>
      </c>
      <c r="Y432" s="160">
        <f t="shared" si="258"/>
        <v>-0.57468598080645528</v>
      </c>
      <c r="Z432" s="98" t="str">
        <f t="shared" si="248"/>
        <v>0.615107038411667+1.24915809635314i</v>
      </c>
      <c r="AA432" s="160">
        <f t="shared" si="259"/>
        <v>1.3923909718136542</v>
      </c>
      <c r="AB432" s="160">
        <f t="shared" si="260"/>
        <v>1.1132332698586758</v>
      </c>
      <c r="AC432" s="171" t="str">
        <f t="shared" si="261"/>
        <v>-0.042385207201037+0.00149768454510331i</v>
      </c>
      <c r="AD432" s="190">
        <f t="shared" si="262"/>
        <v>-27.450294710832143</v>
      </c>
      <c r="AE432" s="169">
        <f t="shared" si="263"/>
        <v>177.97629120494437</v>
      </c>
      <c r="AF432" s="98" t="str">
        <f t="shared" si="249"/>
        <v>-0.0000366300366300366</v>
      </c>
      <c r="AG432" s="98" t="str">
        <f t="shared" si="250"/>
        <v>0.0598451498943418i</v>
      </c>
      <c r="AH432" s="98">
        <f t="shared" si="264"/>
        <v>5.9845149894341802E-2</v>
      </c>
      <c r="AI432" s="98">
        <f t="shared" si="265"/>
        <v>1.5707963267948966</v>
      </c>
      <c r="AJ432" s="98" t="str">
        <f t="shared" si="251"/>
        <v>1+8.54751143208411i</v>
      </c>
      <c r="AK432" s="98">
        <f t="shared" si="266"/>
        <v>8.6058091822680201</v>
      </c>
      <c r="AL432" s="98">
        <f t="shared" si="267"/>
        <v>1.4543326459594996</v>
      </c>
      <c r="AM432" s="98" t="str">
        <f t="shared" si="252"/>
        <v>1+589.778288813802i</v>
      </c>
      <c r="AN432" s="98">
        <f t="shared" si="268"/>
        <v>589.77913658939849</v>
      </c>
      <c r="AO432" s="98">
        <f t="shared" si="269"/>
        <v>1.5691007760079838</v>
      </c>
      <c r="AP432" s="168" t="str">
        <f t="shared" si="270"/>
        <v>-0.0048036745095804+0.0416715430754403i</v>
      </c>
      <c r="AQ432" s="98">
        <f t="shared" si="271"/>
        <v>-27.545878259629653</v>
      </c>
      <c r="AR432" s="169">
        <f t="shared" si="272"/>
        <v>96.575729474386648</v>
      </c>
      <c r="AS432" s="168" t="str">
        <f t="shared" si="273"/>
        <v>0.000141193913380211-0.00177345137671218i</v>
      </c>
      <c r="AT432" s="190">
        <f t="shared" si="274"/>
        <v>-54.996172970461799</v>
      </c>
      <c r="AU432" s="169">
        <f t="shared" si="275"/>
        <v>-85.447979320668978</v>
      </c>
      <c r="AV432" s="225"/>
      <c r="AX432">
        <f t="shared" si="276"/>
        <v>0</v>
      </c>
      <c r="AY432">
        <f t="shared" si="277"/>
        <v>0</v>
      </c>
    </row>
    <row r="433" spans="14:51" x14ac:dyDescent="0.3">
      <c r="N433" s="170">
        <v>15</v>
      </c>
      <c r="O433" s="199">
        <f t="shared" si="278"/>
        <v>141253.75446227577</v>
      </c>
      <c r="P433" s="189" t="str">
        <f t="shared" si="244"/>
        <v>108.75</v>
      </c>
      <c r="Q433" s="160" t="str">
        <f t="shared" si="245"/>
        <v>1+2252.53468010892i</v>
      </c>
      <c r="R433" s="160">
        <f t="shared" si="253"/>
        <v>2252.5349020810741</v>
      </c>
      <c r="S433" s="160">
        <f t="shared" si="254"/>
        <v>1.5703523824937788</v>
      </c>
      <c r="T433" s="160" t="str">
        <f t="shared" si="246"/>
        <v>1+0.0834272103744047i</v>
      </c>
      <c r="U433" s="160">
        <f t="shared" si="255"/>
        <v>1.0034740153241912</v>
      </c>
      <c r="V433" s="160">
        <f t="shared" si="256"/>
        <v>8.3234460777065269E-2</v>
      </c>
      <c r="W433" s="98" t="str">
        <f t="shared" si="247"/>
        <v>1-0.662684224250591i</v>
      </c>
      <c r="X433" s="160">
        <f t="shared" si="257"/>
        <v>1.1996459398800163</v>
      </c>
      <c r="Y433" s="160">
        <f t="shared" si="258"/>
        <v>-0.58524045807796821</v>
      </c>
      <c r="Z433" s="98" t="str">
        <f t="shared" si="248"/>
        <v>0.596967591976997+1.27825472624894i</v>
      </c>
      <c r="AA433" s="160">
        <f t="shared" si="259"/>
        <v>1.4107818580661458</v>
      </c>
      <c r="AB433" s="160">
        <f t="shared" si="260"/>
        <v>1.1338809422250322</v>
      </c>
      <c r="AC433" s="171" t="str">
        <f t="shared" si="261"/>
        <v>-0.0411101401422661+0.00266134205180303i</v>
      </c>
      <c r="AD433" s="190">
        <f t="shared" si="262"/>
        <v>-27.702858199337676</v>
      </c>
      <c r="AE433" s="169">
        <f t="shared" si="263"/>
        <v>176.2960187393839</v>
      </c>
      <c r="AF433" s="98" t="str">
        <f t="shared" si="249"/>
        <v>-0.0000366300366300366</v>
      </c>
      <c r="AG433" s="98" t="str">
        <f t="shared" si="250"/>
        <v>0.0612391225088714i</v>
      </c>
      <c r="AH433" s="98">
        <f t="shared" si="264"/>
        <v>6.1239122508871403E-2</v>
      </c>
      <c r="AI433" s="98">
        <f t="shared" si="265"/>
        <v>1.5707963267948966</v>
      </c>
      <c r="AJ433" s="98" t="str">
        <f t="shared" si="251"/>
        <v>1+8.74660854989132i</v>
      </c>
      <c r="AK433" s="98">
        <f t="shared" si="266"/>
        <v>8.8035879688358865</v>
      </c>
      <c r="AL433" s="98">
        <f t="shared" si="267"/>
        <v>1.4569605775314507</v>
      </c>
      <c r="AM433" s="98" t="str">
        <f t="shared" si="252"/>
        <v>1+603.515989942499i</v>
      </c>
      <c r="AN433" s="98">
        <f t="shared" si="268"/>
        <v>603.51681842039386</v>
      </c>
      <c r="AO433" s="98">
        <f t="shared" si="269"/>
        <v>1.5691393713844393</v>
      </c>
      <c r="AP433" s="168" t="str">
        <f t="shared" si="270"/>
        <v>-0.00459026311842648+0.0407473822782992i</v>
      </c>
      <c r="AQ433" s="98">
        <f t="shared" si="271"/>
        <v>-27.743238742437409</v>
      </c>
      <c r="AR433" s="169">
        <f t="shared" si="272"/>
        <v>96.427371438644343</v>
      </c>
      <c r="AS433" s="168" t="str">
        <f t="shared" si="273"/>
        <v>0.0000802636381302568-0.00168734685615728i</v>
      </c>
      <c r="AT433" s="190">
        <f t="shared" si="274"/>
        <v>-55.446096941775082</v>
      </c>
      <c r="AU433" s="169">
        <f t="shared" si="275"/>
        <v>-87.276609821971732</v>
      </c>
      <c r="AV433" s="225"/>
      <c r="AX433">
        <f t="shared" si="276"/>
        <v>0</v>
      </c>
      <c r="AY433">
        <f t="shared" si="277"/>
        <v>0</v>
      </c>
    </row>
    <row r="434" spans="14:51" x14ac:dyDescent="0.3">
      <c r="N434" s="170">
        <v>16</v>
      </c>
      <c r="O434" s="199">
        <f t="shared" si="278"/>
        <v>144543.97707459307</v>
      </c>
      <c r="P434" s="189" t="str">
        <f t="shared" si="244"/>
        <v>108.75</v>
      </c>
      <c r="Q434" s="160" t="str">
        <f t="shared" si="245"/>
        <v>1+2305.00295302483i</v>
      </c>
      <c r="R434" s="160">
        <f t="shared" si="253"/>
        <v>2305.0031699442816</v>
      </c>
      <c r="S434" s="160">
        <f t="shared" si="254"/>
        <v>1.5703624878985303</v>
      </c>
      <c r="T434" s="160" t="str">
        <f t="shared" si="246"/>
        <v>1+0.0853704797416605i</v>
      </c>
      <c r="U434" s="160">
        <f t="shared" si="255"/>
        <v>1.0036374439065738</v>
      </c>
      <c r="V434" s="160">
        <f t="shared" si="256"/>
        <v>8.5163985233132067E-2</v>
      </c>
      <c r="W434" s="98" t="str">
        <f t="shared" si="247"/>
        <v>1-0.678120122770637i</v>
      </c>
      <c r="X434" s="160">
        <f t="shared" si="257"/>
        <v>1.2082412428428619</v>
      </c>
      <c r="Y434" s="160">
        <f t="shared" si="258"/>
        <v>-0.59589006012254464</v>
      </c>
      <c r="Z434" s="98" t="str">
        <f t="shared" si="248"/>
        <v>0.577973259769416+1.30802910372029i</v>
      </c>
      <c r="AA434" s="160">
        <f t="shared" si="259"/>
        <v>1.4300325958480071</v>
      </c>
      <c r="AB434" s="160">
        <f t="shared" si="260"/>
        <v>1.1547274002203176</v>
      </c>
      <c r="AC434" s="171" t="str">
        <f t="shared" si="261"/>
        <v>-0.0398301199359189+0.00376407149585503i</v>
      </c>
      <c r="AD434" s="190">
        <f t="shared" si="262"/>
        <v>-27.957153726843622</v>
      </c>
      <c r="AE434" s="169">
        <f t="shared" si="263"/>
        <v>174.6014020385665</v>
      </c>
      <c r="AF434" s="98" t="str">
        <f t="shared" si="249"/>
        <v>-0.0000366300366300366</v>
      </c>
      <c r="AG434" s="98" t="str">
        <f t="shared" si="250"/>
        <v>0.0626655649167506i</v>
      </c>
      <c r="AH434" s="98">
        <f t="shared" si="264"/>
        <v>6.2665564916750599E-2</v>
      </c>
      <c r="AI434" s="98">
        <f t="shared" si="265"/>
        <v>1.5707963267948966</v>
      </c>
      <c r="AJ434" s="98" t="str">
        <f t="shared" si="251"/>
        <v>1+8.95034323532671i</v>
      </c>
      <c r="AK434" s="98">
        <f t="shared" si="266"/>
        <v>9.0060337568853583</v>
      </c>
      <c r="AL434" s="98">
        <f t="shared" si="267"/>
        <v>1.4595302168704498</v>
      </c>
      <c r="AM434" s="98" t="str">
        <f t="shared" si="252"/>
        <v>1+617.573683237541i</v>
      </c>
      <c r="AN434" s="98">
        <f t="shared" si="268"/>
        <v>617.57449285700147</v>
      </c>
      <c r="AO434" s="98">
        <f t="shared" si="269"/>
        <v>1.5691770882276384</v>
      </c>
      <c r="AP434" s="168" t="str">
        <f t="shared" si="270"/>
        <v>-0.00438621439585919+0.0398426564845157i</v>
      </c>
      <c r="AQ434" s="98">
        <f t="shared" si="271"/>
        <v>-27.940716524021653</v>
      </c>
      <c r="AR434" s="169">
        <f t="shared" si="272"/>
        <v>96.282302965580769</v>
      </c>
      <c r="AS434" s="168" t="str">
        <f t="shared" si="273"/>
        <v>0.0000247328378592165-0.00160344781092604i</v>
      </c>
      <c r="AT434" s="190">
        <f t="shared" si="274"/>
        <v>-55.897870250865282</v>
      </c>
      <c r="AU434" s="169">
        <f t="shared" si="275"/>
        <v>-89.116294995852712</v>
      </c>
      <c r="AV434" s="225"/>
      <c r="AX434">
        <f t="shared" si="276"/>
        <v>0</v>
      </c>
      <c r="AY434">
        <f t="shared" si="277"/>
        <v>0</v>
      </c>
    </row>
    <row r="435" spans="14:51" x14ac:dyDescent="0.3">
      <c r="N435" s="170">
        <v>17</v>
      </c>
      <c r="O435" s="199">
        <f t="shared" si="278"/>
        <v>147910.83881682079</v>
      </c>
      <c r="P435" s="189" t="str">
        <f t="shared" si="244"/>
        <v>108.75</v>
      </c>
      <c r="Q435" s="160" t="str">
        <f t="shared" si="245"/>
        <v>1+2358.69336901674i</v>
      </c>
      <c r="R435" s="160">
        <f t="shared" si="253"/>
        <v>2358.6935809985021</v>
      </c>
      <c r="S435" s="160">
        <f t="shared" si="254"/>
        <v>1.5703723632762721</v>
      </c>
      <c r="T435" s="160" t="str">
        <f t="shared" si="246"/>
        <v>1+0.0873590136672871i</v>
      </c>
      <c r="U435" s="160">
        <f t="shared" si="255"/>
        <v>1.0038085461226762</v>
      </c>
      <c r="V435" s="160">
        <f t="shared" si="256"/>
        <v>8.713779612976294E-2</v>
      </c>
      <c r="W435" s="98" t="str">
        <f t="shared" si="247"/>
        <v>1-0.693915569555756i</v>
      </c>
      <c r="X435" s="160">
        <f t="shared" si="257"/>
        <v>1.2171765762090105</v>
      </c>
      <c r="Y435" s="160">
        <f t="shared" si="258"/>
        <v>-0.60663077091612583</v>
      </c>
      <c r="Z435" s="98" t="str">
        <f t="shared" si="248"/>
        <v>0.558083752263696+1.33849701553625i</v>
      </c>
      <c r="AA435" s="160">
        <f t="shared" si="259"/>
        <v>1.4501833453533297</v>
      </c>
      <c r="AB435" s="160">
        <f t="shared" si="260"/>
        <v>1.1757654522901844</v>
      </c>
      <c r="AC435" s="171" t="str">
        <f t="shared" si="261"/>
        <v>-0.0385469295325137+0.00480596194568122i</v>
      </c>
      <c r="AD435" s="190">
        <f t="shared" si="262"/>
        <v>-28.213213956457352</v>
      </c>
      <c r="AE435" s="169">
        <f t="shared" si="263"/>
        <v>172.89313826481217</v>
      </c>
      <c r="AF435" s="98" t="str">
        <f t="shared" si="249"/>
        <v>-0.0000366300366300366</v>
      </c>
      <c r="AG435" s="98" t="str">
        <f t="shared" si="250"/>
        <v>0.0641252334366255i</v>
      </c>
      <c r="AH435" s="98">
        <f t="shared" si="264"/>
        <v>6.4125233436625503E-2</v>
      </c>
      <c r="AI435" s="98">
        <f t="shared" si="265"/>
        <v>1.5707963267948966</v>
      </c>
      <c r="AJ435" s="98" t="str">
        <f t="shared" si="251"/>
        <v>1+9.15882351121726i</v>
      </c>
      <c r="AK435" s="98">
        <f t="shared" si="266"/>
        <v>9.2132539371074564</v>
      </c>
      <c r="AL435" s="98">
        <f t="shared" si="267"/>
        <v>1.4620427906202096</v>
      </c>
      <c r="AM435" s="98" t="str">
        <f t="shared" si="252"/>
        <v>1+631.958822273989i</v>
      </c>
      <c r="AN435" s="98">
        <f t="shared" si="268"/>
        <v>631.95961346428396</v>
      </c>
      <c r="AO435" s="98">
        <f t="shared" si="269"/>
        <v>1.5692139465351209</v>
      </c>
      <c r="AP435" s="168" t="str">
        <f t="shared" si="270"/>
        <v>-0.00419112789736707+0.0389570272868707i</v>
      </c>
      <c r="AQ435" s="98">
        <f t="shared" si="271"/>
        <v>-28.138306455379215</v>
      </c>
      <c r="AR435" s="169">
        <f t="shared" si="272"/>
        <v>96.140454919462954</v>
      </c>
      <c r="AS435" s="168" t="str">
        <f t="shared" si="273"/>
        <v>-0.0000256708789360047-0.00152181618680745i</v>
      </c>
      <c r="AT435" s="190">
        <f t="shared" si="274"/>
        <v>-56.351520411836553</v>
      </c>
      <c r="AU435" s="169">
        <f t="shared" si="275"/>
        <v>-90.966406815724881</v>
      </c>
      <c r="AV435" s="225"/>
      <c r="AX435">
        <f t="shared" si="276"/>
        <v>0</v>
      </c>
      <c r="AY435">
        <f t="shared" si="277"/>
        <v>0</v>
      </c>
    </row>
    <row r="436" spans="14:51" x14ac:dyDescent="0.3">
      <c r="N436" s="170">
        <v>18</v>
      </c>
      <c r="O436" s="199">
        <f t="shared" si="278"/>
        <v>151356.12484362084</v>
      </c>
      <c r="P436" s="189" t="str">
        <f t="shared" si="244"/>
        <v>108.75</v>
      </c>
      <c r="Q436" s="160" t="str">
        <f t="shared" si="245"/>
        <v>1+2413.63439545392i</v>
      </c>
      <c r="R436" s="160">
        <f t="shared" si="253"/>
        <v>2413.6346026103888</v>
      </c>
      <c r="S436" s="160">
        <f t="shared" si="254"/>
        <v>1.570382013863052</v>
      </c>
      <c r="T436" s="160" t="str">
        <f t="shared" si="246"/>
        <v>1+0.0893938664982935i</v>
      </c>
      <c r="U436" s="160">
        <f t="shared" si="255"/>
        <v>1.0039876808843398</v>
      </c>
      <c r="V436" s="160">
        <f t="shared" si="256"/>
        <v>8.9156878454854774E-2</v>
      </c>
      <c r="W436" s="98" t="str">
        <f t="shared" si="247"/>
        <v>1-0.710078939560914i</v>
      </c>
      <c r="X436" s="160">
        <f t="shared" si="257"/>
        <v>1.2264632486984484</v>
      </c>
      <c r="Y436" s="160">
        <f t="shared" si="258"/>
        <v>-0.61745837271655912</v>
      </c>
      <c r="Z436" s="98" t="str">
        <f t="shared" si="248"/>
        <v>0.537256881147782+1.36967461618695i</v>
      </c>
      <c r="AA436" s="160">
        <f t="shared" si="259"/>
        <v>1.4712761503427938</v>
      </c>
      <c r="AB436" s="160">
        <f t="shared" si="260"/>
        <v>1.1969875126079452</v>
      </c>
      <c r="AC436" s="171" t="str">
        <f t="shared" si="261"/>
        <v>-0.0372624010971456+0.00578719887189264i</v>
      </c>
      <c r="AD436" s="190">
        <f t="shared" si="262"/>
        <v>-28.471070596913229</v>
      </c>
      <c r="AE436" s="169">
        <f t="shared" si="263"/>
        <v>171.17195984844406</v>
      </c>
      <c r="AF436" s="98" t="str">
        <f t="shared" si="249"/>
        <v>-0.0000366300366300366</v>
      </c>
      <c r="AG436" s="98" t="str">
        <f t="shared" si="250"/>
        <v>0.0656189020040664i</v>
      </c>
      <c r="AH436" s="98">
        <f t="shared" si="264"/>
        <v>6.5618902004066407E-2</v>
      </c>
      <c r="AI436" s="98">
        <f t="shared" si="265"/>
        <v>1.5707963267948966</v>
      </c>
      <c r="AJ436" s="98" t="str">
        <f t="shared" si="251"/>
        <v>1+9.37215991656484i</v>
      </c>
      <c r="AK436" s="98">
        <f t="shared" si="266"/>
        <v>9.4253584282861453</v>
      </c>
      <c r="AL436" s="98">
        <f t="shared" si="267"/>
        <v>1.4644995040161333</v>
      </c>
      <c r="AM436" s="98" t="str">
        <f t="shared" si="252"/>
        <v>1+646.679034242972i</v>
      </c>
      <c r="AN436" s="98">
        <f t="shared" si="268"/>
        <v>646.67980742359896</v>
      </c>
      <c r="AO436" s="98">
        <f t="shared" si="269"/>
        <v>1.5692499658492489</v>
      </c>
      <c r="AP436" s="168" t="str">
        <f t="shared" si="270"/>
        <v>-0.00400461940750736+0.038090157350071i</v>
      </c>
      <c r="AQ436" s="98">
        <f t="shared" si="271"/>
        <v>-28.33600360798695</v>
      </c>
      <c r="AR436" s="169">
        <f t="shared" si="272"/>
        <v>96.001759365083757</v>
      </c>
      <c r="AS436" s="168" t="str">
        <f t="shared" si="273"/>
        <v>-0.0000712135810425912-0.00144250624994922i</v>
      </c>
      <c r="AT436" s="190">
        <f t="shared" si="274"/>
        <v>-56.807074204900175</v>
      </c>
      <c r="AU436" s="169">
        <f t="shared" si="275"/>
        <v>-92.826280786472196</v>
      </c>
      <c r="AV436" s="225"/>
      <c r="AX436">
        <f t="shared" si="276"/>
        <v>0</v>
      </c>
      <c r="AY436">
        <f t="shared" si="277"/>
        <v>0</v>
      </c>
    </row>
    <row r="437" spans="14:51" x14ac:dyDescent="0.3">
      <c r="N437" s="170">
        <v>19</v>
      </c>
      <c r="O437" s="199">
        <f t="shared" si="278"/>
        <v>154881.66189124843</v>
      </c>
      <c r="P437" s="189" t="str">
        <f t="shared" si="244"/>
        <v>108.75</v>
      </c>
      <c r="Q437" s="160" t="str">
        <f t="shared" si="245"/>
        <v>1+2469.85516279579i</v>
      </c>
      <c r="R437" s="160">
        <f t="shared" si="253"/>
        <v>2469.8553652368023</v>
      </c>
      <c r="S437" s="160">
        <f t="shared" si="254"/>
        <v>1.5703914447757321</v>
      </c>
      <c r="T437" s="160" t="str">
        <f t="shared" si="246"/>
        <v>1+0.0914761171405852i</v>
      </c>
      <c r="U437" s="160">
        <f t="shared" si="255"/>
        <v>1.0041752237568491</v>
      </c>
      <c r="V437" s="160">
        <f t="shared" si="256"/>
        <v>9.1222236866657549E-2</v>
      </c>
      <c r="W437" s="98" t="str">
        <f t="shared" si="247"/>
        <v>1-0.726618802818834i</v>
      </c>
      <c r="X437" s="160">
        <f t="shared" si="257"/>
        <v>1.2361128122505145</v>
      </c>
      <c r="Y437" s="160">
        <f t="shared" si="258"/>
        <v>-0.62836845142079145</v>
      </c>
      <c r="Z437" s="98" t="str">
        <f t="shared" si="248"/>
        <v>0.51544846983573+1.40157843644894i</v>
      </c>
      <c r="AA437" s="160">
        <f t="shared" si="259"/>
        <v>1.4933550276389909</v>
      </c>
      <c r="AB437" s="160">
        <f t="shared" si="260"/>
        <v>1.2183856086282172</v>
      </c>
      <c r="AC437" s="171" t="str">
        <f t="shared" si="261"/>
        <v>-0.035978407801318+0.00670806976641132i</v>
      </c>
      <c r="AD437" s="190">
        <f t="shared" si="262"/>
        <v>-28.730754297811597</v>
      </c>
      <c r="AE437" s="169">
        <f t="shared" si="263"/>
        <v>169.43863376164356</v>
      </c>
      <c r="AF437" s="98" t="str">
        <f t="shared" si="249"/>
        <v>-0.0000366300366300366</v>
      </c>
      <c r="AG437" s="98" t="str">
        <f t="shared" si="250"/>
        <v>0.0671473625819188i</v>
      </c>
      <c r="AH437" s="98">
        <f t="shared" si="264"/>
        <v>6.7147362581918807E-2</v>
      </c>
      <c r="AI437" s="98">
        <f t="shared" si="265"/>
        <v>1.5707963267948966</v>
      </c>
      <c r="AJ437" s="98" t="str">
        <f t="shared" si="251"/>
        <v>1+9.59046556515539i</v>
      </c>
      <c r="AK437" s="98">
        <f t="shared" si="266"/>
        <v>9.6424597357951818</v>
      </c>
      <c r="AL437" s="98">
        <f t="shared" si="267"/>
        <v>1.4669015409568336</v>
      </c>
      <c r="AM437" s="98" t="str">
        <f t="shared" si="252"/>
        <v>1+661.74212399572i</v>
      </c>
      <c r="AN437" s="98">
        <f t="shared" si="268"/>
        <v>661.7428795766275</v>
      </c>
      <c r="AO437" s="98">
        <f t="shared" si="269"/>
        <v>1.5692851652675652</v>
      </c>
      <c r="AP437" s="168" t="str">
        <f t="shared" si="270"/>
        <v>-0.00382632036112223+0.0372417107961934i</v>
      </c>
      <c r="AQ437" s="98">
        <f t="shared" si="271"/>
        <v>-28.53380326484384</v>
      </c>
      <c r="AR437" s="169">
        <f t="shared" si="272"/>
        <v>95.866149564257924</v>
      </c>
      <c r="AS437" s="168" t="str">
        <f t="shared" si="273"/>
        <v>-0.000112155079910437-0.00136556468217524i</v>
      </c>
      <c r="AT437" s="190">
        <f t="shared" si="274"/>
        <v>-57.264557562655447</v>
      </c>
      <c r="AU437" s="169">
        <f t="shared" si="275"/>
        <v>-94.695216674098532</v>
      </c>
      <c r="AV437" s="225"/>
      <c r="AX437">
        <f t="shared" si="276"/>
        <v>0</v>
      </c>
      <c r="AY437">
        <f t="shared" si="277"/>
        <v>0</v>
      </c>
    </row>
    <row r="438" spans="14:51" x14ac:dyDescent="0.3">
      <c r="N438" s="170">
        <v>20</v>
      </c>
      <c r="O438" s="199">
        <f t="shared" si="278"/>
        <v>158489.31924611164</v>
      </c>
      <c r="P438" s="189" t="str">
        <f t="shared" si="244"/>
        <v>108.75</v>
      </c>
      <c r="Q438" s="160" t="str">
        <f t="shared" si="245"/>
        <v>1+2527.38548003737i</v>
      </c>
      <c r="R438" s="160">
        <f t="shared" si="253"/>
        <v>2527.385677870263</v>
      </c>
      <c r="S438" s="160">
        <f t="shared" si="254"/>
        <v>1.5704006610147001</v>
      </c>
      <c r="T438" s="160" t="str">
        <f t="shared" si="246"/>
        <v>1+0.0936068696310142i</v>
      </c>
      <c r="U438" s="160">
        <f t="shared" si="255"/>
        <v>1.0043715677188985</v>
      </c>
      <c r="V438" s="160">
        <f t="shared" si="256"/>
        <v>9.3334895924868086E-2</v>
      </c>
      <c r="W438" s="98" t="str">
        <f t="shared" si="247"/>
        <v>1-0.743543928983943i</v>
      </c>
      <c r="X438" s="160">
        <f t="shared" si="257"/>
        <v>1.2461370608118831</v>
      </c>
      <c r="Y438" s="160">
        <f t="shared" si="258"/>
        <v>-0.63935640291558549</v>
      </c>
      <c r="Z438" s="98" t="str">
        <f t="shared" si="248"/>
        <v>0.492612259763247+1.43422539215001i</v>
      </c>
      <c r="AA438" s="160">
        <f t="shared" si="259"/>
        <v>1.5164660609314349</v>
      </c>
      <c r="AB438" s="160">
        <f t="shared" si="260"/>
        <v>1.23995139040654</v>
      </c>
      <c r="AC438" s="171" t="str">
        <f t="shared" si="261"/>
        <v>-0.0346968549906687+0.00756896905254069i</v>
      </c>
      <c r="AD438" s="190">
        <f t="shared" si="262"/>
        <v>-28.992294544418282</v>
      </c>
      <c r="AE438" s="169">
        <f t="shared" si="263"/>
        <v>167.69396063368899</v>
      </c>
      <c r="AF438" s="98" t="str">
        <f t="shared" si="249"/>
        <v>-0.0000366300366300366</v>
      </c>
      <c r="AG438" s="98" t="str">
        <f t="shared" si="250"/>
        <v>0.0687114255802124i</v>
      </c>
      <c r="AH438" s="98">
        <f t="shared" si="264"/>
        <v>6.8711425580212399E-2</v>
      </c>
      <c r="AI438" s="98">
        <f t="shared" si="265"/>
        <v>1.5707963267948966</v>
      </c>
      <c r="AJ438" s="98" t="str">
        <f t="shared" si="251"/>
        <v>1+9.81385620553339i</v>
      </c>
      <c r="AK438" s="98">
        <f t="shared" si="266"/>
        <v>9.8646730114528509</v>
      </c>
      <c r="AL438" s="98">
        <f t="shared" si="267"/>
        <v>1.4692500640997694</v>
      </c>
      <c r="AM438" s="98" t="str">
        <f t="shared" si="252"/>
        <v>1+677.156078181802i</v>
      </c>
      <c r="AN438" s="98">
        <f t="shared" si="268"/>
        <v>677.15681656360721</v>
      </c>
      <c r="AO438" s="98">
        <f t="shared" si="269"/>
        <v>1.5693195634529185</v>
      </c>
      <c r="AP438" s="168" t="str">
        <f t="shared" si="270"/>
        <v>-0.0036558772780402+0.0364113535574296i</v>
      </c>
      <c r="AQ438" s="98">
        <f t="shared" si="271"/>
        <v>-28.731700911834665</v>
      </c>
      <c r="AR438" s="169">
        <f t="shared" si="272"/>
        <v>95.733559970922556</v>
      </c>
      <c r="AS438" s="168" t="str">
        <f t="shared" si="273"/>
        <v>-0.000148748964457461-0.00129103067637348i</v>
      </c>
      <c r="AT438" s="190">
        <f t="shared" si="274"/>
        <v>-57.723995456252922</v>
      </c>
      <c r="AU438" s="169">
        <f t="shared" si="275"/>
        <v>-96.572479395388442</v>
      </c>
      <c r="AV438" s="225"/>
      <c r="AX438">
        <f t="shared" si="276"/>
        <v>0</v>
      </c>
      <c r="AY438">
        <f t="shared" si="277"/>
        <v>0</v>
      </c>
    </row>
    <row r="439" spans="14:51" x14ac:dyDescent="0.3">
      <c r="N439" s="170">
        <v>21</v>
      </c>
      <c r="O439" s="199">
        <f t="shared" si="278"/>
        <v>162181.00973589328</v>
      </c>
      <c r="P439" s="189" t="str">
        <f t="shared" si="244"/>
        <v>108.75</v>
      </c>
      <c r="Q439" s="160" t="str">
        <f t="shared" si="245"/>
        <v>1+2586.25585051436i</v>
      </c>
      <c r="R439" s="160">
        <f t="shared" si="253"/>
        <v>2586.2560438440264</v>
      </c>
      <c r="S439" s="160">
        <f t="shared" si="254"/>
        <v>1.570409667466522</v>
      </c>
      <c r="T439" s="160" t="str">
        <f t="shared" si="246"/>
        <v>1+0.0957872537227546i</v>
      </c>
      <c r="U439" s="160">
        <f t="shared" si="255"/>
        <v>1.0045771239560193</v>
      </c>
      <c r="V439" s="160">
        <f t="shared" si="256"/>
        <v>9.5495900311702464E-2</v>
      </c>
      <c r="W439" s="98" t="str">
        <f t="shared" si="247"/>
        <v>1-0.760863291982165i</v>
      </c>
      <c r="X439" s="160">
        <f t="shared" si="257"/>
        <v>1.2565480289610649</v>
      </c>
      <c r="Y439" s="160">
        <f t="shared" si="258"/>
        <v>-0.65041744041994898</v>
      </c>
      <c r="Z439" s="98" t="str">
        <f t="shared" si="248"/>
        <v>0.468699812267066+1.46763279313822i</v>
      </c>
      <c r="AA439" s="160">
        <f t="shared" si="259"/>
        <v>1.540657499093772</v>
      </c>
      <c r="AB439" s="160">
        <f t="shared" si="260"/>
        <v>1.2616761416979765</v>
      </c>
      <c r="AC439" s="171" t="str">
        <f t="shared" si="261"/>
        <v>-0.0334196707956717+0.00837040220634731i</v>
      </c>
      <c r="AD439" s="190">
        <f t="shared" si="262"/>
        <v>-29.255719552532092</v>
      </c>
      <c r="AE439" s="169">
        <f t="shared" si="263"/>
        <v>165.93877370687935</v>
      </c>
      <c r="AF439" s="98" t="str">
        <f t="shared" si="249"/>
        <v>-0.0000366300366300366</v>
      </c>
      <c r="AG439" s="98" t="str">
        <f t="shared" si="250"/>
        <v>0.0703119202858519i</v>
      </c>
      <c r="AH439" s="98">
        <f t="shared" si="264"/>
        <v>7.0311920285851898E-2</v>
      </c>
      <c r="AI439" s="98">
        <f t="shared" si="265"/>
        <v>1.5707963267948966</v>
      </c>
      <c r="AJ439" s="98" t="str">
        <f t="shared" si="251"/>
        <v>1+10.0424502823733i</v>
      </c>
      <c r="AK439" s="98">
        <f t="shared" si="266"/>
        <v>10.092116114766991</v>
      </c>
      <c r="AL439" s="98">
        <f t="shared" si="267"/>
        <v>1.4715462149789431</v>
      </c>
      <c r="AM439" s="98" t="str">
        <f t="shared" si="252"/>
        <v>1+692.929069483754i</v>
      </c>
      <c r="AN439" s="98">
        <f t="shared" si="268"/>
        <v>692.92979105795507</v>
      </c>
      <c r="AO439" s="98">
        <f t="shared" si="269"/>
        <v>1.5693531786433559</v>
      </c>
      <c r="AP439" s="168" t="str">
        <f t="shared" si="270"/>
        <v>-0.00349295121166454+0.0355987536981202i</v>
      </c>
      <c r="AQ439" s="98">
        <f t="shared" si="271"/>
        <v>-28.929692229407276</v>
      </c>
      <c r="AR439" s="169">
        <f t="shared" si="272"/>
        <v>95.603926224960233</v>
      </c>
      <c r="AS439" s="168" t="str">
        <f t="shared" si="273"/>
        <v>-0.000181242606898788-0.00121893603585616i</v>
      </c>
      <c r="AT439" s="190">
        <f t="shared" si="274"/>
        <v>-58.185411781939351</v>
      </c>
      <c r="AU439" s="169">
        <f t="shared" si="275"/>
        <v>-98.457300068160393</v>
      </c>
      <c r="AV439" s="225"/>
      <c r="AX439">
        <f t="shared" si="276"/>
        <v>0</v>
      </c>
      <c r="AY439">
        <f t="shared" si="277"/>
        <v>0</v>
      </c>
    </row>
    <row r="440" spans="14:51" x14ac:dyDescent="0.3">
      <c r="N440" s="170">
        <v>22</v>
      </c>
      <c r="O440" s="199">
        <f t="shared" si="278"/>
        <v>165958.69074375604</v>
      </c>
      <c r="P440" s="189" t="str">
        <f t="shared" si="244"/>
        <v>108.75</v>
      </c>
      <c r="Q440" s="160" t="str">
        <f t="shared" si="245"/>
        <v>1+2646.49748807646i</v>
      </c>
      <c r="R440" s="160">
        <f t="shared" si="253"/>
        <v>2646.4976770054063</v>
      </c>
      <c r="S440" s="160">
        <f t="shared" si="254"/>
        <v>1.5704184689065317</v>
      </c>
      <c r="T440" s="160" t="str">
        <f t="shared" si="246"/>
        <v>1+0.0980184254843137i</v>
      </c>
      <c r="U440" s="160">
        <f t="shared" si="255"/>
        <v>1.0047923226888349</v>
      </c>
      <c r="V440" s="160">
        <f t="shared" si="256"/>
        <v>9.7706315041710887E-2</v>
      </c>
      <c r="W440" s="98" t="str">
        <f t="shared" si="247"/>
        <v>1-0.778586074769017i</v>
      </c>
      <c r="X440" s="160">
        <f t="shared" si="257"/>
        <v>1.2673579903974352</v>
      </c>
      <c r="Y440" s="160">
        <f t="shared" si="258"/>
        <v>-0.66154660280866762</v>
      </c>
      <c r="Z440" s="98" t="str">
        <f t="shared" si="248"/>
        <v>0.44366040584004+1.50181835245978i</v>
      </c>
      <c r="AA440" s="160">
        <f t="shared" si="259"/>
        <v>1.56597985922398</v>
      </c>
      <c r="AB440" s="160">
        <f t="shared" si="260"/>
        <v>1.2835507928338112</v>
      </c>
      <c r="AC440" s="171" t="str">
        <f t="shared" si="261"/>
        <v>-0.0321487962634662+0.00911298901669166i</v>
      </c>
      <c r="AD440" s="190">
        <f t="shared" si="262"/>
        <v>-29.521056163951066</v>
      </c>
      <c r="AE440" s="169">
        <f t="shared" si="263"/>
        <v>164.17393763372263</v>
      </c>
      <c r="AF440" s="98" t="str">
        <f t="shared" si="249"/>
        <v>-0.0000366300366300366</v>
      </c>
      <c r="AG440" s="98" t="str">
        <f t="shared" si="250"/>
        <v>0.0719496953023151i</v>
      </c>
      <c r="AH440" s="98">
        <f t="shared" si="264"/>
        <v>7.1949695302315098E-2</v>
      </c>
      <c r="AI440" s="98">
        <f t="shared" si="265"/>
        <v>1.5707963267948966</v>
      </c>
      <c r="AJ440" s="98" t="str">
        <f t="shared" si="251"/>
        <v>1+10.2763689992805i</v>
      </c>
      <c r="AK440" s="98">
        <f t="shared" si="266"/>
        <v>10.324909675603623</v>
      </c>
      <c r="AL440" s="98">
        <f t="shared" si="267"/>
        <v>1.4737911141427276</v>
      </c>
      <c r="AM440" s="98" t="str">
        <f t="shared" si="252"/>
        <v>1+709.069460950351i</v>
      </c>
      <c r="AN440" s="98">
        <f t="shared" si="268"/>
        <v>709.07016609953439</v>
      </c>
      <c r="AO440" s="98">
        <f t="shared" si="269"/>
        <v>1.5693860286617922</v>
      </c>
      <c r="AP440" s="168" t="str">
        <f t="shared" si="270"/>
        <v>-0.0033372172117556+0.0348035817079725i</v>
      </c>
      <c r="AQ440" s="98">
        <f t="shared" si="271"/>
        <v>-29.127773084555699</v>
      </c>
      <c r="AR440" s="169">
        <f t="shared" si="272"/>
        <v>95.477185144856278</v>
      </c>
      <c r="AS440" s="168" t="str">
        <f t="shared" si="273"/>
        <v>-0.000209877141618621-0.00114930528136555i</v>
      </c>
      <c r="AT440" s="190">
        <f t="shared" si="274"/>
        <v>-58.648829248506765</v>
      </c>
      <c r="AU440" s="169">
        <f t="shared" si="275"/>
        <v>-100.34887722142111</v>
      </c>
      <c r="AV440" s="225"/>
      <c r="AX440">
        <f t="shared" si="276"/>
        <v>0</v>
      </c>
      <c r="AY440">
        <f t="shared" si="277"/>
        <v>0</v>
      </c>
    </row>
    <row r="441" spans="14:51" x14ac:dyDescent="0.3">
      <c r="N441" s="170">
        <v>23</v>
      </c>
      <c r="O441" s="199">
        <f t="shared" si="278"/>
        <v>169824.36524617471</v>
      </c>
      <c r="P441" s="189" t="str">
        <f t="shared" si="244"/>
        <v>108.75</v>
      </c>
      <c r="Q441" s="160" t="str">
        <f t="shared" si="245"/>
        <v>1+2708.14233363725i</v>
      </c>
      <c r="R441" s="160">
        <f t="shared" si="253"/>
        <v>2708.142518265649</v>
      </c>
      <c r="S441" s="160">
        <f t="shared" si="254"/>
        <v>1.5704270700013636</v>
      </c>
      <c r="T441" s="160" t="str">
        <f t="shared" si="246"/>
        <v>1+0.100301567912491i</v>
      </c>
      <c r="U441" s="160">
        <f t="shared" si="255"/>
        <v>1.0050176140375371</v>
      </c>
      <c r="V441" s="160">
        <f t="shared" si="256"/>
        <v>9.9967225659004719E-2</v>
      </c>
      <c r="W441" s="98" t="str">
        <f t="shared" si="247"/>
        <v>1-0.796721674198511i</v>
      </c>
      <c r="X441" s="160">
        <f t="shared" si="257"/>
        <v>1.2785794563255262</v>
      </c>
      <c r="Y441" s="160">
        <f t="shared" si="258"/>
        <v>-0.67273876389723986</v>
      </c>
      <c r="Z441" s="98" t="str">
        <f t="shared" si="248"/>
        <v>0.417440928544058+1.53680019575071i</v>
      </c>
      <c r="AA441" s="160">
        <f t="shared" si="259"/>
        <v>1.5924860346273515</v>
      </c>
      <c r="AB441" s="160">
        <f t="shared" si="260"/>
        <v>1.3055659353610232</v>
      </c>
      <c r="AC441" s="171" t="str">
        <f t="shared" si="261"/>
        <v>-0.0308861750992851+0.00979746591987612i</v>
      </c>
      <c r="AD441" s="190">
        <f t="shared" si="262"/>
        <v>-29.78832974308262</v>
      </c>
      <c r="AE441" s="169">
        <f t="shared" si="263"/>
        <v>162.40034711732272</v>
      </c>
      <c r="AF441" s="98" t="str">
        <f t="shared" si="249"/>
        <v>-0.0000366300366300366</v>
      </c>
      <c r="AG441" s="98" t="str">
        <f t="shared" si="250"/>
        <v>0.0736256189995946i</v>
      </c>
      <c r="AH441" s="98">
        <f t="shared" si="264"/>
        <v>7.3625618999594605E-2</v>
      </c>
      <c r="AI441" s="98">
        <f t="shared" si="265"/>
        <v>1.5707963267948966</v>
      </c>
      <c r="AJ441" s="98" t="str">
        <f t="shared" si="251"/>
        <v>1+10.5157363830549i</v>
      </c>
      <c r="AK441" s="98">
        <f t="shared" si="266"/>
        <v>10.563177158312953</v>
      </c>
      <c r="AL441" s="98">
        <f t="shared" si="267"/>
        <v>1.4759858613100074</v>
      </c>
      <c r="AM441" s="98" t="str">
        <f t="shared" si="252"/>
        <v>1+725.585810430784i</v>
      </c>
      <c r="AN441" s="98">
        <f t="shared" si="268"/>
        <v>725.58649952882786</v>
      </c>
      <c r="AO441" s="98">
        <f t="shared" si="269"/>
        <v>1.5694181309254585</v>
      </c>
      <c r="AP441" s="168" t="str">
        <f t="shared" si="270"/>
        <v>-0.00318836380162781+0.0340255107682641i</v>
      </c>
      <c r="AQ441" s="98">
        <f t="shared" si="271"/>
        <v>-29.325939523101496</v>
      </c>
      <c r="AR441" s="169">
        <f t="shared" si="272"/>
        <v>95.353274719293751</v>
      </c>
      <c r="AS441" s="168" t="str">
        <f t="shared" si="273"/>
        <v>-0.000234887419501147-0.00108215576911783i</v>
      </c>
      <c r="AT441" s="190">
        <f t="shared" si="274"/>
        <v>-59.114269266184124</v>
      </c>
      <c r="AU441" s="169">
        <f t="shared" si="275"/>
        <v>-102.24637816338354</v>
      </c>
      <c r="AV441" s="225"/>
      <c r="AX441">
        <f t="shared" si="276"/>
        <v>0</v>
      </c>
      <c r="AY441">
        <f t="shared" si="277"/>
        <v>0</v>
      </c>
    </row>
    <row r="442" spans="14:51" x14ac:dyDescent="0.3">
      <c r="N442" s="170">
        <v>24</v>
      </c>
      <c r="O442" s="199">
        <f t="shared" si="278"/>
        <v>173780.0828749378</v>
      </c>
      <c r="P442" s="189" t="str">
        <f t="shared" si="244"/>
        <v>108.75</v>
      </c>
      <c r="Q442" s="160" t="str">
        <f t="shared" si="245"/>
        <v>1+2771.22307210986i</v>
      </c>
      <c r="R442" s="160">
        <f t="shared" si="253"/>
        <v>2771.2232525356035</v>
      </c>
      <c r="S442" s="160">
        <f t="shared" si="254"/>
        <v>1.5704354753114274</v>
      </c>
      <c r="T442" s="160" t="str">
        <f t="shared" si="246"/>
        <v>1+0.102637891559625i</v>
      </c>
      <c r="U442" s="160">
        <f t="shared" si="255"/>
        <v>1.0052534689240349</v>
      </c>
      <c r="V442" s="160">
        <f t="shared" si="256"/>
        <v>0.10227973842049182</v>
      </c>
      <c r="W442" s="98" t="str">
        <f t="shared" si="247"/>
        <v>1-0.81527970600553i</v>
      </c>
      <c r="X442" s="160">
        <f t="shared" si="257"/>
        <v>1.2902251737679216</v>
      </c>
      <c r="Y442" s="160">
        <f t="shared" si="258"/>
        <v>-0.68398864265930814</v>
      </c>
      <c r="Z442" s="98" t="str">
        <f t="shared" si="248"/>
        <v>0.389985765352453+1.5725968708474i</v>
      </c>
      <c r="AA442" s="160">
        <f t="shared" si="259"/>
        <v>1.6202314079712727</v>
      </c>
      <c r="AB442" s="160">
        <f t="shared" si="260"/>
        <v>1.3277118384143973</v>
      </c>
      <c r="AC442" s="171" t="str">
        <f t="shared" si="261"/>
        <v>-0.0296337431152136+0.0104246873550935i</v>
      </c>
      <c r="AD442" s="190">
        <f t="shared" si="262"/>
        <v>-30.057564075257272</v>
      </c>
      <c r="AE442" s="169">
        <f t="shared" si="263"/>
        <v>160.61892539826943</v>
      </c>
      <c r="AF442" s="98" t="str">
        <f t="shared" si="249"/>
        <v>-0.0000366300366300366</v>
      </c>
      <c r="AG442" s="98" t="str">
        <f t="shared" si="250"/>
        <v>0.0753405799746179i</v>
      </c>
      <c r="AH442" s="98">
        <f t="shared" si="264"/>
        <v>7.5340579974617905E-2</v>
      </c>
      <c r="AI442" s="98">
        <f t="shared" si="265"/>
        <v>1.5707963267948966</v>
      </c>
      <c r="AJ442" s="98" t="str">
        <f t="shared" si="251"/>
        <v>1+10.7606793494519i</v>
      </c>
      <c r="AK442" s="98">
        <f t="shared" si="266"/>
        <v>10.807044927348112</v>
      </c>
      <c r="AL442" s="98">
        <f t="shared" si="267"/>
        <v>1.4781315355429461</v>
      </c>
      <c r="AM442" s="98" t="str">
        <f t="shared" si="252"/>
        <v>1+742.486875112176i</v>
      </c>
      <c r="AN442" s="98">
        <f t="shared" si="268"/>
        <v>742.48754852444779</v>
      </c>
      <c r="AO442" s="98">
        <f t="shared" si="269"/>
        <v>1.5694495024551349</v>
      </c>
      <c r="AP442" s="168" t="str">
        <f t="shared" si="270"/>
        <v>-0.00304609246990677+0.0332642169927511i</v>
      </c>
      <c r="AQ442" s="98">
        <f t="shared" si="271"/>
        <v>-29.524187762264425</v>
      </c>
      <c r="AR442" s="169">
        <f t="shared" si="272"/>
        <v>95.232134097783728</v>
      </c>
      <c r="AS442" s="168" t="str">
        <f t="shared" si="273"/>
        <v>-0.000256501940503015-0.00101749782294539i</v>
      </c>
      <c r="AT442" s="190">
        <f t="shared" si="274"/>
        <v>-59.581751837521715</v>
      </c>
      <c r="AU442" s="169">
        <f t="shared" si="275"/>
        <v>-104.14894050394686</v>
      </c>
      <c r="AV442" s="225"/>
      <c r="AX442">
        <f t="shared" si="276"/>
        <v>0</v>
      </c>
      <c r="AY442">
        <f t="shared" si="277"/>
        <v>0</v>
      </c>
    </row>
    <row r="443" spans="14:51" x14ac:dyDescent="0.3">
      <c r="N443" s="170">
        <v>25</v>
      </c>
      <c r="O443" s="199">
        <f t="shared" si="278"/>
        <v>177827.94100389251</v>
      </c>
      <c r="P443" s="189" t="str">
        <f t="shared" si="244"/>
        <v>108.75</v>
      </c>
      <c r="Q443" s="160" t="str">
        <f t="shared" si="245"/>
        <v>1+2835.77314973677i</v>
      </c>
      <c r="R443" s="160">
        <f t="shared" si="253"/>
        <v>2835.7733260555224</v>
      </c>
      <c r="S443" s="160">
        <f t="shared" si="254"/>
        <v>1.5704436892933242</v>
      </c>
      <c r="T443" s="160" t="str">
        <f t="shared" si="246"/>
        <v>1+0.105028635175436i</v>
      </c>
      <c r="U443" s="160">
        <f t="shared" si="255"/>
        <v>1.0055003800132623</v>
      </c>
      <c r="V443" s="160">
        <f t="shared" si="256"/>
        <v>0.10464498046357756</v>
      </c>
      <c r="W443" s="98" t="str">
        <f t="shared" si="247"/>
        <v>1-0.834270009904176i</v>
      </c>
      <c r="X443" s="160">
        <f t="shared" si="257"/>
        <v>1.3023081238422471</v>
      </c>
      <c r="Y443" s="160">
        <f t="shared" si="258"/>
        <v>-0.69529081433822448</v>
      </c>
      <c r="Z443" s="98" t="str">
        <f t="shared" si="248"/>
        <v>0.361236680183128+1.60922735762079i</v>
      </c>
      <c r="AA443" s="160">
        <f t="shared" si="259"/>
        <v>1.6492739698500423</v>
      </c>
      <c r="AB443" s="160">
        <f t="shared" si="260"/>
        <v>1.3499784667756418</v>
      </c>
      <c r="AC443" s="171" t="str">
        <f t="shared" si="261"/>
        <v>-0.028393417491988+0.010995626098508i</v>
      </c>
      <c r="AD443" s="190">
        <f t="shared" si="262"/>
        <v>-30.328781267310241</v>
      </c>
      <c r="AE443" s="169">
        <f t="shared" si="263"/>
        <v>158.83062259274962</v>
      </c>
      <c r="AF443" s="98" t="str">
        <f t="shared" si="249"/>
        <v>-0.0000366300366300366</v>
      </c>
      <c r="AG443" s="98" t="str">
        <f t="shared" si="250"/>
        <v>0.0770954875223942i</v>
      </c>
      <c r="AH443" s="98">
        <f t="shared" si="264"/>
        <v>7.7095487522394202E-2</v>
      </c>
      <c r="AI443" s="98">
        <f t="shared" si="265"/>
        <v>1.5707963267948966</v>
      </c>
      <c r="AJ443" s="98" t="str">
        <f t="shared" si="251"/>
        <v>1+11.0113277704743i</v>
      </c>
      <c r="AK443" s="98">
        <f t="shared" si="266"/>
        <v>11.056642314410759</v>
      </c>
      <c r="AL443" s="98">
        <f t="shared" si="267"/>
        <v>1.4802291954347762</v>
      </c>
      <c r="AM443" s="98" t="str">
        <f t="shared" si="252"/>
        <v>1+759.781616162728i</v>
      </c>
      <c r="AN443" s="98">
        <f t="shared" si="268"/>
        <v>759.78227424627835</v>
      </c>
      <c r="AO443" s="98">
        <f t="shared" si="269"/>
        <v>1.5694801598841748</v>
      </c>
      <c r="AP443" s="168" t="str">
        <f t="shared" si="270"/>
        <v>-0.00291011717692322+0.0325193796449077i</v>
      </c>
      <c r="AQ443" s="98">
        <f t="shared" si="271"/>
        <v>-29.722514183514846</v>
      </c>
      <c r="AR443" s="169">
        <f t="shared" si="272"/>
        <v>95.113703580422694</v>
      </c>
      <c r="AS443" s="168" t="str">
        <f t="shared" si="273"/>
        <v>-0.00027494276757585-0.000955334883218614i</v>
      </c>
      <c r="AT443" s="190">
        <f t="shared" si="274"/>
        <v>-60.051295450825094</v>
      </c>
      <c r="AU443" s="169">
        <f t="shared" si="275"/>
        <v>-106.05567382682764</v>
      </c>
      <c r="AV443" s="225"/>
      <c r="AX443">
        <f t="shared" si="276"/>
        <v>0</v>
      </c>
      <c r="AY443">
        <f t="shared" si="277"/>
        <v>0</v>
      </c>
    </row>
    <row r="444" spans="14:51" x14ac:dyDescent="0.3">
      <c r="N444" s="170">
        <v>26</v>
      </c>
      <c r="O444" s="199">
        <f t="shared" si="278"/>
        <v>181970.08586099857</v>
      </c>
      <c r="P444" s="189" t="str">
        <f t="shared" si="244"/>
        <v>108.75</v>
      </c>
      <c r="Q444" s="160" t="str">
        <f t="shared" si="245"/>
        <v>1+2901.82679182354i</v>
      </c>
      <c r="R444" s="160">
        <f t="shared" si="253"/>
        <v>2901.8269641287884</v>
      </c>
      <c r="S444" s="160">
        <f t="shared" si="254"/>
        <v>1.5704517163022125</v>
      </c>
      <c r="T444" s="160" t="str">
        <f t="shared" si="246"/>
        <v>1+0.107475066363835i</v>
      </c>
      <c r="U444" s="160">
        <f t="shared" si="255"/>
        <v>1.0057588626951843</v>
      </c>
      <c r="V444" s="160">
        <f t="shared" si="256"/>
        <v>0.10706409995673893</v>
      </c>
      <c r="W444" s="98" t="str">
        <f t="shared" si="247"/>
        <v>1-0.853702654804932i</v>
      </c>
      <c r="X444" s="160">
        <f t="shared" si="257"/>
        <v>1.3148415200399586</v>
      </c>
      <c r="Y444" s="160">
        <f t="shared" si="258"/>
        <v>-0.70663972240534945</v>
      </c>
      <c r="Z444" s="98" t="str">
        <f t="shared" si="248"/>
        <v>0.331132692371997+1.64671107803982i</v>
      </c>
      <c r="AA444" s="160">
        <f t="shared" si="259"/>
        <v>1.6796744430087023</v>
      </c>
      <c r="AB444" s="160">
        <f t="shared" si="260"/>
        <v>1.3723555005589605</v>
      </c>
      <c r="AC444" s="171" t="str">
        <f t="shared" si="261"/>
        <v>-0.0271670859659551+0.0115113725467196i</v>
      </c>
      <c r="AD444" s="190">
        <f t="shared" si="262"/>
        <v>-30.60200165100083</v>
      </c>
      <c r="AE444" s="169">
        <f t="shared" si="263"/>
        <v>157.03641388798005</v>
      </c>
      <c r="AF444" s="98" t="str">
        <f t="shared" si="249"/>
        <v>-0.0000366300366300366</v>
      </c>
      <c r="AG444" s="98" t="str">
        <f t="shared" si="250"/>
        <v>0.0788912721181343i</v>
      </c>
      <c r="AH444" s="98">
        <f t="shared" si="264"/>
        <v>7.8891272118134306E-2</v>
      </c>
      <c r="AI444" s="98">
        <f t="shared" si="265"/>
        <v>1.5707963267948966</v>
      </c>
      <c r="AJ444" s="98" t="str">
        <f t="shared" si="251"/>
        <v>1+11.2678145432328i</v>
      </c>
      <c r="AK444" s="98">
        <f t="shared" si="266"/>
        <v>11.312101687161789</v>
      </c>
      <c r="AL444" s="98">
        <f t="shared" si="267"/>
        <v>1.4822798793111454</v>
      </c>
      <c r="AM444" s="98" t="str">
        <f t="shared" si="252"/>
        <v>1+777.479203483059i</v>
      </c>
      <c r="AN444" s="98">
        <f t="shared" si="268"/>
        <v>777.4798465868115</v>
      </c>
      <c r="AO444" s="98">
        <f t="shared" si="269"/>
        <v>1.569510119467322</v>
      </c>
      <c r="AP444" s="168" t="str">
        <f t="shared" si="270"/>
        <v>-0.00278016387575904+0.031790681333042i</v>
      </c>
      <c r="AQ444" s="98">
        <f t="shared" si="271"/>
        <v>-29.920915325699738</v>
      </c>
      <c r="AR444" s="169">
        <f t="shared" si="272"/>
        <v>94.997924606861517</v>
      </c>
      <c r="AS444" s="168" t="str">
        <f t="shared" si="273"/>
        <v>-0.000290425425326502-0.00089566367480583i</v>
      </c>
      <c r="AT444" s="190">
        <f t="shared" si="274"/>
        <v>-60.522916976700571</v>
      </c>
      <c r="AU444" s="169">
        <f t="shared" si="275"/>
        <v>-107.96566150515842</v>
      </c>
      <c r="AV444" s="225"/>
      <c r="AX444">
        <f t="shared" si="276"/>
        <v>0</v>
      </c>
      <c r="AY444">
        <f t="shared" si="277"/>
        <v>0</v>
      </c>
    </row>
    <row r="445" spans="14:51" x14ac:dyDescent="0.3">
      <c r="N445" s="170">
        <v>27</v>
      </c>
      <c r="O445" s="199">
        <f t="shared" si="278"/>
        <v>186208.71366628664</v>
      </c>
      <c r="P445" s="189" t="str">
        <f t="shared" si="244"/>
        <v>108.75</v>
      </c>
      <c r="Q445" s="160" t="str">
        <f t="shared" si="245"/>
        <v>1+2969.41902088557i</v>
      </c>
      <c r="R445" s="160">
        <f t="shared" si="253"/>
        <v>2969.4191892686717</v>
      </c>
      <c r="S445" s="160">
        <f t="shared" si="254"/>
        <v>1.5704595605941136</v>
      </c>
      <c r="T445" s="160" t="str">
        <f t="shared" si="246"/>
        <v>1+0.109978482255021i</v>
      </c>
      <c r="U445" s="160">
        <f t="shared" si="255"/>
        <v>1.0060294561090735</v>
      </c>
      <c r="V445" s="160">
        <f t="shared" si="256"/>
        <v>0.10953826623121296</v>
      </c>
      <c r="W445" s="98" t="str">
        <f t="shared" si="247"/>
        <v>1-0.873587944153362i</v>
      </c>
      <c r="X445" s="160">
        <f t="shared" si="257"/>
        <v>1.3278388065462228</v>
      </c>
      <c r="Y445" s="160">
        <f t="shared" si="258"/>
        <v>-0.7180296913085934</v>
      </c>
      <c r="Z445" s="98" t="str">
        <f t="shared" si="248"/>
        <v>0.299609947324776+1.68506790646923i</v>
      </c>
      <c r="AA445" s="160">
        <f t="shared" si="259"/>
        <v>1.7114964124848608</v>
      </c>
      <c r="AB445" s="160">
        <f t="shared" si="260"/>
        <v>1.3948323564470779</v>
      </c>
      <c r="AC445" s="171" t="str">
        <f t="shared" si="261"/>
        <v>-0.0259565960579892+0.0119731329343079i</v>
      </c>
      <c r="AD445" s="190">
        <f t="shared" si="262"/>
        <v>-30.877243689834529</v>
      </c>
      <c r="AE445" s="169">
        <f t="shared" si="263"/>
        <v>155.23729760244788</v>
      </c>
      <c r="AF445" s="98" t="str">
        <f t="shared" si="249"/>
        <v>-0.0000366300366300366</v>
      </c>
      <c r="AG445" s="98" t="str">
        <f t="shared" si="250"/>
        <v>0.0807288859106008i</v>
      </c>
      <c r="AH445" s="98">
        <f t="shared" si="264"/>
        <v>8.0728885910600803E-2</v>
      </c>
      <c r="AI445" s="98">
        <f t="shared" si="265"/>
        <v>1.5707963267948966</v>
      </c>
      <c r="AJ445" s="98" t="str">
        <f t="shared" si="251"/>
        <v>1+11.5302756604093i</v>
      </c>
      <c r="AK445" s="98">
        <f t="shared" si="266"/>
        <v>11.573558519531803</v>
      </c>
      <c r="AL445" s="98">
        <f t="shared" si="267"/>
        <v>1.4842846054436067</v>
      </c>
      <c r="AM445" s="98" t="str">
        <f t="shared" si="252"/>
        <v>1+795.589020568236i</v>
      </c>
      <c r="AN445" s="98">
        <f t="shared" si="268"/>
        <v>795.58964903317155</v>
      </c>
      <c r="AO445" s="98">
        <f t="shared" si="269"/>
        <v>1.5695393970893288</v>
      </c>
      <c r="AP445" s="168" t="str">
        <f t="shared" si="270"/>
        <v>-0.00265597004790879+0.0310778081847577i</v>
      </c>
      <c r="AQ445" s="98">
        <f t="shared" si="271"/>
        <v>-30.119387878432757</v>
      </c>
      <c r="AR445" s="169">
        <f t="shared" si="272"/>
        <v>94.884739744567042</v>
      </c>
      <c r="AS445" s="168" t="str">
        <f t="shared" si="273"/>
        <v>-0.000303158787027339-0.000838474395872578i</v>
      </c>
      <c r="AT445" s="190">
        <f t="shared" si="274"/>
        <v>-60.99663156826729</v>
      </c>
      <c r="AU445" s="169">
        <f t="shared" si="275"/>
        <v>-109.87796265298503</v>
      </c>
      <c r="AV445" s="225"/>
      <c r="AX445">
        <f t="shared" si="276"/>
        <v>0</v>
      </c>
      <c r="AY445">
        <f t="shared" si="277"/>
        <v>0</v>
      </c>
    </row>
    <row r="446" spans="14:51" x14ac:dyDescent="0.3">
      <c r="N446" s="170">
        <v>28</v>
      </c>
      <c r="O446" s="199">
        <f t="shared" si="278"/>
        <v>190546.07179632492</v>
      </c>
      <c r="P446" s="189" t="str">
        <f t="shared" si="244"/>
        <v>108.75</v>
      </c>
      <c r="Q446" s="160" t="str">
        <f t="shared" si="245"/>
        <v>1+3038.5856752174i</v>
      </c>
      <c r="R446" s="160">
        <f t="shared" si="253"/>
        <v>3038.5858397676348</v>
      </c>
      <c r="S446" s="160">
        <f t="shared" si="254"/>
        <v>1.5704672263281718</v>
      </c>
      <c r="T446" s="160" t="str">
        <f t="shared" si="246"/>
        <v>1+0.112540210193238i</v>
      </c>
      <c r="U446" s="160">
        <f t="shared" si="255"/>
        <v>1.0063127242116827</v>
      </c>
      <c r="V446" s="160">
        <f t="shared" si="256"/>
        <v>0.1120686698919659</v>
      </c>
      <c r="W446" s="98" t="str">
        <f t="shared" si="247"/>
        <v>1-0.893936421393093i</v>
      </c>
      <c r="X446" s="160">
        <f t="shared" si="257"/>
        <v>1.3413136566415365</v>
      </c>
      <c r="Y446" s="160">
        <f t="shared" si="258"/>
        <v>-0.72945493994609845</v>
      </c>
      <c r="Z446" s="98" t="str">
        <f t="shared" si="248"/>
        <v>0.266601581072887+1.72431818020718i</v>
      </c>
      <c r="AA446" s="160">
        <f t="shared" si="259"/>
        <v>1.744806461938849</v>
      </c>
      <c r="AB446" s="160">
        <f t="shared" si="260"/>
        <v>1.4173982103868907</v>
      </c>
      <c r="AC446" s="171" t="str">
        <f t="shared" si="261"/>
        <v>-0.0247637444638944+0.0123822264848672i</v>
      </c>
      <c r="AD446" s="190">
        <f t="shared" si="262"/>
        <v>-31.154523889846232</v>
      </c>
      <c r="AE446" s="169">
        <f t="shared" si="263"/>
        <v>153.43429311978849</v>
      </c>
      <c r="AF446" s="98" t="str">
        <f t="shared" si="249"/>
        <v>-0.0000366300366300366</v>
      </c>
      <c r="AG446" s="98" t="str">
        <f t="shared" si="250"/>
        <v>0.0826093032269504i</v>
      </c>
      <c r="AH446" s="98">
        <f t="shared" si="264"/>
        <v>8.2609303226950398E-2</v>
      </c>
      <c r="AI446" s="98">
        <f t="shared" si="265"/>
        <v>1.5707963267948966</v>
      </c>
      <c r="AJ446" s="98" t="str">
        <f t="shared" si="251"/>
        <v>1+11.7988502823622i</v>
      </c>
      <c r="AK446" s="98">
        <f t="shared" si="266"/>
        <v>11.841151463671029</v>
      </c>
      <c r="AL446" s="98">
        <f t="shared" si="267"/>
        <v>1.4862443722739764</v>
      </c>
      <c r="AM446" s="98" t="str">
        <f t="shared" si="252"/>
        <v>1+814.120669482992i</v>
      </c>
      <c r="AN446" s="98">
        <f t="shared" si="268"/>
        <v>814.12128364233001</v>
      </c>
      <c r="AO446" s="98">
        <f t="shared" si="269"/>
        <v>1.5695680082733772</v>
      </c>
      <c r="AP446" s="168" t="str">
        <f t="shared" si="270"/>
        <v>-0.00253728425346983+0.0303804500021385i</v>
      </c>
      <c r="AQ446" s="98">
        <f t="shared" si="271"/>
        <v>-30.317928675742472</v>
      </c>
      <c r="AR446" s="169">
        <f t="shared" si="272"/>
        <v>94.774092676449996</v>
      </c>
      <c r="AS446" s="168" t="str">
        <f t="shared" si="273"/>
        <v>-0.000313344953753473-0.000783750928834029i</v>
      </c>
      <c r="AT446" s="190">
        <f t="shared" si="274"/>
        <v>-61.472452565588696</v>
      </c>
      <c r="AU446" s="169">
        <f t="shared" si="275"/>
        <v>-111.79161420376147</v>
      </c>
      <c r="AV446" s="225"/>
      <c r="AX446">
        <f t="shared" si="276"/>
        <v>0</v>
      </c>
      <c r="AY446">
        <f t="shared" si="277"/>
        <v>0</v>
      </c>
    </row>
    <row r="447" spans="14:51" x14ac:dyDescent="0.3">
      <c r="N447" s="170">
        <v>29</v>
      </c>
      <c r="O447" s="199">
        <f t="shared" si="278"/>
        <v>194984.45997580473</v>
      </c>
      <c r="P447" s="189" t="str">
        <f t="shared" si="244"/>
        <v>108.75</v>
      </c>
      <c r="Q447" s="160" t="str">
        <f t="shared" si="245"/>
        <v>1+3109.36342789463i</v>
      </c>
      <c r="R447" s="160">
        <f t="shared" si="253"/>
        <v>3109.3635886992442</v>
      </c>
      <c r="S447" s="160">
        <f t="shared" si="254"/>
        <v>1.5704747175688565</v>
      </c>
      <c r="T447" s="160" t="str">
        <f t="shared" si="246"/>
        <v>1+0.115161608440542i</v>
      </c>
      <c r="U447" s="160">
        <f t="shared" si="255"/>
        <v>1.0066092568909808</v>
      </c>
      <c r="V447" s="160">
        <f t="shared" si="256"/>
        <v>0.11465652290595893</v>
      </c>
      <c r="W447" s="98" t="str">
        <f t="shared" si="247"/>
        <v>1-0.914758875556082i</v>
      </c>
      <c r="X447" s="160">
        <f t="shared" si="257"/>
        <v>1.3552799712268411</v>
      </c>
      <c r="Y447" s="160">
        <f t="shared" si="258"/>
        <v>-0.74090959579202464</v>
      </c>
      <c r="Z447" s="98" t="str">
        <f t="shared" si="248"/>
        <v>0.23203757844604+1.7644827102683i</v>
      </c>
      <c r="AA447" s="160">
        <f t="shared" si="259"/>
        <v>1.7796743164542401</v>
      </c>
      <c r="AB447" s="160">
        <f t="shared" si="260"/>
        <v>1.4400420216397727</v>
      </c>
      <c r="AC447" s="171" t="str">
        <f t="shared" si="261"/>
        <v>-0.0235902667264927+0.012740081510151i</v>
      </c>
      <c r="AD447" s="190">
        <f t="shared" si="262"/>
        <v>-31.433856714886428</v>
      </c>
      <c r="AE447" s="169">
        <f t="shared" si="263"/>
        <v>151.62843870638855</v>
      </c>
      <c r="AF447" s="98" t="str">
        <f t="shared" si="249"/>
        <v>-0.0000366300366300366</v>
      </c>
      <c r="AG447" s="98" t="str">
        <f t="shared" si="250"/>
        <v>0.0845335210893342i</v>
      </c>
      <c r="AH447" s="98">
        <f t="shared" si="264"/>
        <v>8.4533521089334193E-2</v>
      </c>
      <c r="AI447" s="98">
        <f t="shared" si="265"/>
        <v>1.5707963267948966</v>
      </c>
      <c r="AJ447" s="98" t="str">
        <f t="shared" si="251"/>
        <v>1+12.073680810911i</v>
      </c>
      <c r="AK447" s="98">
        <f t="shared" si="266"/>
        <v>12.115022423576463</v>
      </c>
      <c r="AL447" s="98">
        <f t="shared" si="267"/>
        <v>1.4881601586483393</v>
      </c>
      <c r="AM447" s="98" t="str">
        <f t="shared" si="252"/>
        <v>1+833.083975952856i</v>
      </c>
      <c r="AN447" s="98">
        <f t="shared" si="268"/>
        <v>833.08457613223084</v>
      </c>
      <c r="AO447" s="98">
        <f t="shared" si="269"/>
        <v>1.5695959681893079</v>
      </c>
      <c r="AP447" s="168" t="str">
        <f t="shared" si="270"/>
        <v>-0.00242386569573489+0.0296983003989735i</v>
      </c>
      <c r="AQ447" s="98">
        <f t="shared" si="271"/>
        <v>-30.516534689968644</v>
      </c>
      <c r="AR447" s="169">
        <f t="shared" si="272"/>
        <v>94.665928187928714</v>
      </c>
      <c r="AS447" s="168" t="str">
        <f t="shared" si="273"/>
        <v>-0.00032117912952429-0.000731471074268611i</v>
      </c>
      <c r="AT447" s="190">
        <f t="shared" si="274"/>
        <v>-61.950391404855068</v>
      </c>
      <c r="AU447" s="169">
        <f t="shared" si="275"/>
        <v>-113.70563310568268</v>
      </c>
      <c r="AV447" s="225"/>
      <c r="AX447">
        <f t="shared" si="276"/>
        <v>0</v>
      </c>
      <c r="AY447">
        <f t="shared" si="277"/>
        <v>0</v>
      </c>
    </row>
    <row r="448" spans="14:51" x14ac:dyDescent="0.3">
      <c r="N448" s="170">
        <v>30</v>
      </c>
      <c r="O448" s="199">
        <f t="shared" si="278"/>
        <v>199526.23149688813</v>
      </c>
      <c r="P448" s="189" t="str">
        <f t="shared" si="244"/>
        <v>108.75</v>
      </c>
      <c r="Q448" s="160" t="str">
        <f t="shared" si="245"/>
        <v>1+3181.78980621865i</v>
      </c>
      <c r="R448" s="160">
        <f t="shared" si="253"/>
        <v>3181.7899633629045</v>
      </c>
      <c r="S448" s="160">
        <f t="shared" si="254"/>
        <v>1.5704820382881197</v>
      </c>
      <c r="T448" s="160" t="str">
        <f t="shared" si="246"/>
        <v>1+0.117844066896987i</v>
      </c>
      <c r="U448" s="160">
        <f t="shared" si="255"/>
        <v>1.0069196711271569</v>
      </c>
      <c r="V448" s="160">
        <f t="shared" si="256"/>
        <v>0.1173030586656475</v>
      </c>
      <c r="W448" s="98" t="str">
        <f t="shared" si="247"/>
        <v>1-0.936066346983162i</v>
      </c>
      <c r="X448" s="160">
        <f t="shared" si="257"/>
        <v>1.3697518775144648</v>
      </c>
      <c r="Y448" s="160">
        <f t="shared" si="258"/>
        <v>-0.7523877095939675</v>
      </c>
      <c r="Z448" s="98" t="str">
        <f t="shared" si="248"/>
        <v>0.195844624560546+1.8055827924181i</v>
      </c>
      <c r="AA448" s="160">
        <f t="shared" si="259"/>
        <v>1.8161729921033418</v>
      </c>
      <c r="AB448" s="160">
        <f t="shared" si="260"/>
        <v>1.4627525580680119</v>
      </c>
      <c r="AC448" s="171" t="str">
        <f t="shared" si="261"/>
        <v>-0.0224378273080953+0.0130482304872875i</v>
      </c>
      <c r="AD448" s="190">
        <f t="shared" si="262"/>
        <v>-31.715254506938592</v>
      </c>
      <c r="AE448" s="169">
        <f t="shared" si="263"/>
        <v>149.82078922399398</v>
      </c>
      <c r="AF448" s="98" t="str">
        <f t="shared" si="249"/>
        <v>-0.0000366300366300366</v>
      </c>
      <c r="AG448" s="98" t="str">
        <f t="shared" si="250"/>
        <v>0.086502559743533i</v>
      </c>
      <c r="AH448" s="98">
        <f t="shared" si="264"/>
        <v>8.6502559743533006E-2</v>
      </c>
      <c r="AI448" s="98">
        <f t="shared" si="265"/>
        <v>1.5707963267948966</v>
      </c>
      <c r="AJ448" s="98" t="str">
        <f t="shared" si="251"/>
        <v>1+12.3549129648399i</v>
      </c>
      <c r="AK448" s="98">
        <f t="shared" si="266"/>
        <v>12.395316630436232</v>
      </c>
      <c r="AL448" s="98">
        <f t="shared" si="267"/>
        <v>1.4900329240595804</v>
      </c>
      <c r="AM448" s="98" t="str">
        <f t="shared" si="252"/>
        <v>1+852.488994573947i</v>
      </c>
      <c r="AN448" s="98">
        <f t="shared" si="268"/>
        <v>852.48958109158082</v>
      </c>
      <c r="AO448" s="98">
        <f t="shared" si="269"/>
        <v>1.5696232916616639</v>
      </c>
      <c r="AP448" s="168" t="str">
        <f t="shared" si="270"/>
        <v>-0.00231548380002332+0.0290310569212591i</v>
      </c>
      <c r="AQ448" s="98">
        <f t="shared" si="271"/>
        <v>-30.715203025899086</v>
      </c>
      <c r="AR448" s="169">
        <f t="shared" si="272"/>
        <v>94.560192153494143</v>
      </c>
      <c r="AS448" s="168" t="str">
        <f t="shared" si="273"/>
        <v>-0.000326849496358536-0.000681606808082981i</v>
      </c>
      <c r="AT448" s="190">
        <f t="shared" si="274"/>
        <v>-62.430457532837671</v>
      </c>
      <c r="AU448" s="169">
        <f t="shared" si="275"/>
        <v>-115.61901862251185</v>
      </c>
      <c r="AV448" s="225"/>
      <c r="AX448">
        <f t="shared" si="276"/>
        <v>0</v>
      </c>
      <c r="AY448">
        <f t="shared" si="277"/>
        <v>0</v>
      </c>
    </row>
    <row r="449" spans="14:51" x14ac:dyDescent="0.3">
      <c r="N449" s="170">
        <v>31</v>
      </c>
      <c r="O449" s="199">
        <f t="shared" si="278"/>
        <v>204173.79446695308</v>
      </c>
      <c r="P449" s="189" t="str">
        <f t="shared" si="244"/>
        <v>108.75</v>
      </c>
      <c r="Q449" s="160" t="str">
        <f t="shared" si="245"/>
        <v>1+3255.90321161387i</v>
      </c>
      <c r="R449" s="160">
        <f t="shared" si="253"/>
        <v>3255.9033651810846</v>
      </c>
      <c r="S449" s="160">
        <f t="shared" si="254"/>
        <v>1.5704891923675006</v>
      </c>
      <c r="T449" s="160" t="str">
        <f t="shared" si="246"/>
        <v>1+0.120589007837551i</v>
      </c>
      <c r="U449" s="160">
        <f t="shared" si="255"/>
        <v>1.0072446122026391</v>
      </c>
      <c r="V449" s="160">
        <f t="shared" si="256"/>
        <v>0.12000953202542328</v>
      </c>
      <c r="W449" s="98" t="str">
        <f t="shared" si="247"/>
        <v>1-0.957870133177712i</v>
      </c>
      <c r="X449" s="160">
        <f t="shared" si="257"/>
        <v>1.3847437279272607</v>
      </c>
      <c r="Y449" s="160">
        <f t="shared" si="258"/>
        <v>-0.76388327055485272</v>
      </c>
      <c r="Z449" s="98" t="str">
        <f t="shared" si="248"/>
        <v>0.157945949308763+1.84764021846416i</v>
      </c>
      <c r="AA449" s="160">
        <f t="shared" si="259"/>
        <v>1.8543789525847558</v>
      </c>
      <c r="AB449" s="160">
        <f t="shared" si="260"/>
        <v>1.4855184225259381</v>
      </c>
      <c r="AC449" s="171" t="str">
        <f t="shared" si="261"/>
        <v>-0.0213080101784202+0.0133083041592013i</v>
      </c>
      <c r="AD449" s="190">
        <f t="shared" si="262"/>
        <v>-31.998727411961887</v>
      </c>
      <c r="AE449" s="169">
        <f t="shared" si="263"/>
        <v>148.01241374971875</v>
      </c>
      <c r="AF449" s="98" t="str">
        <f t="shared" si="249"/>
        <v>-0.0000366300366300366</v>
      </c>
      <c r="AG449" s="98" t="str">
        <f t="shared" si="250"/>
        <v>0.0885174631999046i</v>
      </c>
      <c r="AH449" s="98">
        <f t="shared" si="264"/>
        <v>8.8517463199904597E-2</v>
      </c>
      <c r="AI449" s="98">
        <f t="shared" si="265"/>
        <v>1.5707963267948966</v>
      </c>
      <c r="AJ449" s="98" t="str">
        <f t="shared" si="251"/>
        <v>1+12.6426958571592i</v>
      </c>
      <c r="AK449" s="98">
        <f t="shared" si="266"/>
        <v>12.682182719730481</v>
      </c>
      <c r="AL449" s="98">
        <f t="shared" si="267"/>
        <v>1.4918636088973865</v>
      </c>
      <c r="AM449" s="98" t="str">
        <f t="shared" si="252"/>
        <v>1+872.346014143983i</v>
      </c>
      <c r="AN449" s="98">
        <f t="shared" si="268"/>
        <v>872.34658731085449</v>
      </c>
      <c r="AO449" s="98">
        <f t="shared" si="269"/>
        <v>1.5696499931775483</v>
      </c>
      <c r="AP449" s="168" t="str">
        <f t="shared" si="270"/>
        <v>-0.00221191780655581+0.0283784211521442i</v>
      </c>
      <c r="AQ449" s="98">
        <f t="shared" si="271"/>
        <v>-30.913930915139602</v>
      </c>
      <c r="AR449" s="169">
        <f t="shared" si="272"/>
        <v>94.456831522836012</v>
      </c>
      <c r="AS449" s="168" t="str">
        <f t="shared" si="273"/>
        <v>-0.000330537093114727-0.000634124561702182i</v>
      </c>
      <c r="AT449" s="190">
        <f t="shared" si="274"/>
        <v>-62.912658327101489</v>
      </c>
      <c r="AU449" s="169">
        <f t="shared" si="275"/>
        <v>-117.53075472744527</v>
      </c>
      <c r="AV449" s="225"/>
      <c r="AX449">
        <f t="shared" si="276"/>
        <v>0</v>
      </c>
      <c r="AY449">
        <f t="shared" si="277"/>
        <v>0</v>
      </c>
    </row>
    <row r="450" spans="14:51" x14ac:dyDescent="0.3">
      <c r="N450" s="170">
        <v>32</v>
      </c>
      <c r="O450" s="199">
        <f t="shared" si="278"/>
        <v>208929.61308540447</v>
      </c>
      <c r="P450" s="189" t="str">
        <f t="shared" si="244"/>
        <v>108.75</v>
      </c>
      <c r="Q450" s="160" t="str">
        <f t="shared" si="245"/>
        <v>1+3331.74293998889i</v>
      </c>
      <c r="R450" s="160">
        <f t="shared" si="253"/>
        <v>3331.7430900604882</v>
      </c>
      <c r="S450" s="160">
        <f t="shared" si="254"/>
        <v>1.5704961836001834</v>
      </c>
      <c r="T450" s="160" t="str">
        <f t="shared" si="246"/>
        <v>1+0.123397886666256i</v>
      </c>
      <c r="U450" s="160">
        <f t="shared" si="255"/>
        <v>1.0075847549629253</v>
      </c>
      <c r="V450" s="160">
        <f t="shared" si="256"/>
        <v>0.12277721930868934</v>
      </c>
      <c r="W450" s="98" t="str">
        <f t="shared" si="247"/>
        <v>1-0.980181794795791i</v>
      </c>
      <c r="X450" s="160">
        <f t="shared" si="257"/>
        <v>1.4002700992483907</v>
      </c>
      <c r="Y450" s="160">
        <f t="shared" si="258"/>
        <v>-0.77539022190673423</v>
      </c>
      <c r="Z450" s="98" t="str">
        <f t="shared" si="248"/>
        <v>0.118261164519296+1.89067728781046i</v>
      </c>
      <c r="AA450" s="160">
        <f t="shared" si="259"/>
        <v>1.8943722732545936</v>
      </c>
      <c r="AB450" s="160">
        <f t="shared" si="260"/>
        <v>1.5083280802134849</v>
      </c>
      <c r="AC450" s="171" t="str">
        <f t="shared" si="261"/>
        <v>-0.0202023100271586+0.0135220247180331i</v>
      </c>
      <c r="AD450" s="190">
        <f t="shared" si="262"/>
        <v>-32.284283311732409</v>
      </c>
      <c r="AE450" s="169">
        <f t="shared" si="263"/>
        <v>146.20439311677572</v>
      </c>
      <c r="AF450" s="98" t="str">
        <f t="shared" si="249"/>
        <v>-0.0000366300366300366</v>
      </c>
      <c r="AG450" s="98" t="str">
        <f t="shared" si="250"/>
        <v>0.0905792997869321i</v>
      </c>
      <c r="AH450" s="98">
        <f t="shared" si="264"/>
        <v>9.0579299786932105E-2</v>
      </c>
      <c r="AI450" s="98">
        <f t="shared" si="265"/>
        <v>1.5707963267948966</v>
      </c>
      <c r="AJ450" s="98" t="str">
        <f t="shared" si="251"/>
        <v>1+12.937182074168i</v>
      </c>
      <c r="AK450" s="98">
        <f t="shared" si="266"/>
        <v>12.975772810132499</v>
      </c>
      <c r="AL450" s="98">
        <f t="shared" si="267"/>
        <v>1.4936531347047577</v>
      </c>
      <c r="AM450" s="98" t="str">
        <f t="shared" si="252"/>
        <v>1+892.665563117591i</v>
      </c>
      <c r="AN450" s="98">
        <f t="shared" si="268"/>
        <v>892.66612323759966</v>
      </c>
      <c r="AO450" s="98">
        <f t="shared" si="269"/>
        <v>1.569676086894306</v>
      </c>
      <c r="AP450" s="168" t="str">
        <f t="shared" si="270"/>
        <v>-0.00211295637714995+0.0277400988024218i</v>
      </c>
      <c r="AQ450" s="98">
        <f t="shared" si="271"/>
        <v>-31.112715710708741</v>
      </c>
      <c r="AR450" s="169">
        <f t="shared" si="272"/>
        <v>94.355794306585949</v>
      </c>
      <c r="AS450" s="168" t="str">
        <f t="shared" si="273"/>
        <v>-0.000332415701881983-0.000588985524550483i</v>
      </c>
      <c r="AT450" s="190">
        <f t="shared" si="274"/>
        <v>-63.39699902244115</v>
      </c>
      <c r="AU450" s="169">
        <f t="shared" si="275"/>
        <v>-119.43981257663835</v>
      </c>
      <c r="AV450" s="225"/>
      <c r="AX450">
        <f t="shared" si="276"/>
        <v>0</v>
      </c>
      <c r="AY450">
        <f t="shared" si="277"/>
        <v>0</v>
      </c>
    </row>
    <row r="451" spans="14:51" x14ac:dyDescent="0.3">
      <c r="N451" s="170">
        <v>33</v>
      </c>
      <c r="O451" s="199">
        <f t="shared" si="278"/>
        <v>213796.20895022334</v>
      </c>
      <c r="P451" s="189" t="str">
        <f t="shared" si="244"/>
        <v>108.75</v>
      </c>
      <c r="Q451" s="160" t="str">
        <f t="shared" si="245"/>
        <v>1+3409.3492025715i</v>
      </c>
      <c r="R451" s="160">
        <f t="shared" si="253"/>
        <v>3409.3493492270518</v>
      </c>
      <c r="S451" s="160">
        <f t="shared" si="254"/>
        <v>1.57050301569301</v>
      </c>
      <c r="T451" s="160" t="str">
        <f t="shared" si="246"/>
        <v>1+0.126272192687834i</v>
      </c>
      <c r="U451" s="160">
        <f t="shared" si="255"/>
        <v>1.00794080513004</v>
      </c>
      <c r="V451" s="160">
        <f t="shared" si="256"/>
        <v>0.12560741828300426</v>
      </c>
      <c r="W451" s="98" t="str">
        <f t="shared" si="247"/>
        <v>1-1.0030131617757i</v>
      </c>
      <c r="X451" s="160">
        <f t="shared" si="257"/>
        <v>1.4163457920632541</v>
      </c>
      <c r="Y451" s="160">
        <f t="shared" si="258"/>
        <v>-0.78690247677906466</v>
      </c>
      <c r="Z451" s="98" t="str">
        <f t="shared" si="248"/>
        <v>0.0767060934430021+1.93471681928083i</v>
      </c>
      <c r="AA451" s="160">
        <f t="shared" si="259"/>
        <v>1.9362368128871577</v>
      </c>
      <c r="AB451" s="160">
        <f t="shared" si="260"/>
        <v>1.5311698868392758</v>
      </c>
      <c r="AC451" s="171" t="str">
        <f t="shared" si="261"/>
        <v>-0.0191221242025302+0.0136911981451368i</v>
      </c>
      <c r="AD451" s="190">
        <f t="shared" si="262"/>
        <v>-32.571927762112495</v>
      </c>
      <c r="AE451" s="169">
        <f t="shared" si="263"/>
        <v>144.39781739012679</v>
      </c>
      <c r="AF451" s="98" t="str">
        <f t="shared" si="249"/>
        <v>-0.0000366300366300366</v>
      </c>
      <c r="AG451" s="98" t="str">
        <f t="shared" si="250"/>
        <v>0.0926891627176651i</v>
      </c>
      <c r="AH451" s="98">
        <f t="shared" si="264"/>
        <v>9.26891627176651E-2</v>
      </c>
      <c r="AI451" s="98">
        <f t="shared" si="265"/>
        <v>1.5707963267948966</v>
      </c>
      <c r="AJ451" s="98" t="str">
        <f t="shared" si="251"/>
        <v>1+13.2385277563563i</v>
      </c>
      <c r="AK451" s="98">
        <f t="shared" si="266"/>
        <v>13.276242584248608</v>
      </c>
      <c r="AL451" s="98">
        <f t="shared" si="267"/>
        <v>1.495402404440102</v>
      </c>
      <c r="AM451" s="98" t="str">
        <f t="shared" si="252"/>
        <v>1+913.458415188582i</v>
      </c>
      <c r="AN451" s="98">
        <f t="shared" si="268"/>
        <v>913.45896255871048</v>
      </c>
      <c r="AO451" s="98">
        <f t="shared" si="269"/>
        <v>1.5697015866470287</v>
      </c>
      <c r="AP451" s="168" t="str">
        <f t="shared" si="270"/>
        <v>-0.00201839721549159+0.0271157997876041i</v>
      </c>
      <c r="AQ451" s="98">
        <f t="shared" si="271"/>
        <v>-31.311554881849901</v>
      </c>
      <c r="AR451" s="169">
        <f t="shared" si="272"/>
        <v>94.257029561730377</v>
      </c>
      <c r="AS451" s="168" t="str">
        <f t="shared" si="273"/>
        <v>-0.000332651745511275-0.000546145967602395i</v>
      </c>
      <c r="AT451" s="190">
        <f t="shared" si="274"/>
        <v>-63.883482643962395</v>
      </c>
      <c r="AU451" s="169">
        <f t="shared" si="275"/>
        <v>-121.34515304814283</v>
      </c>
      <c r="AV451" s="225"/>
      <c r="AX451">
        <f t="shared" si="276"/>
        <v>0</v>
      </c>
      <c r="AY451">
        <f t="shared" si="277"/>
        <v>0</v>
      </c>
    </row>
    <row r="452" spans="14:51" x14ac:dyDescent="0.3">
      <c r="N452" s="170">
        <v>34</v>
      </c>
      <c r="O452" s="199">
        <f t="shared" si="278"/>
        <v>218776.16239495538</v>
      </c>
      <c r="P452" s="189" t="str">
        <f t="shared" si="244"/>
        <v>108.75</v>
      </c>
      <c r="Q452" s="160" t="str">
        <f t="shared" si="245"/>
        <v>1+3488.7631472294i</v>
      </c>
      <c r="R452" s="160">
        <f t="shared" si="253"/>
        <v>3488.7632905466639</v>
      </c>
      <c r="S452" s="160">
        <f t="shared" si="254"/>
        <v>1.5705096922684434</v>
      </c>
      <c r="T452" s="160" t="str">
        <f t="shared" si="246"/>
        <v>1+0.129213449897386i</v>
      </c>
      <c r="U452" s="160">
        <f t="shared" si="255"/>
        <v>1.0083135006704931</v>
      </c>
      <c r="V452" s="160">
        <f t="shared" si="256"/>
        <v>0.1285014481006628</v>
      </c>
      <c r="W452" s="98" t="str">
        <f t="shared" si="247"/>
        <v>1-1.02637633961044i</v>
      </c>
      <c r="X452" s="160">
        <f t="shared" si="257"/>
        <v>1.4329858305343166</v>
      </c>
      <c r="Y452" s="160">
        <f t="shared" si="258"/>
        <v>-0.79841393426073726</v>
      </c>
      <c r="Z452" s="98" t="str">
        <f t="shared" si="248"/>
        <v>0.033192592202729+1.97978216321778i</v>
      </c>
      <c r="AA452" s="160">
        <f t="shared" si="259"/>
        <v>1.9800603935164223</v>
      </c>
      <c r="AB452" s="160">
        <f t="shared" si="260"/>
        <v>1.5540321174322367</v>
      </c>
      <c r="AC452" s="171" t="str">
        <f t="shared" si="261"/>
        <v>-0.0180687454673267+0.0138177057938592i</v>
      </c>
      <c r="AD452" s="190">
        <f t="shared" si="262"/>
        <v>-32.861663938140566</v>
      </c>
      <c r="AE452" s="169">
        <f t="shared" si="263"/>
        <v>142.59378329189408</v>
      </c>
      <c r="AF452" s="98" t="str">
        <f t="shared" si="249"/>
        <v>-0.0000366300366300366</v>
      </c>
      <c r="AG452" s="98" t="str">
        <f t="shared" si="250"/>
        <v>0.0948481706693572i</v>
      </c>
      <c r="AH452" s="98">
        <f t="shared" si="264"/>
        <v>9.4848170669357204E-2</v>
      </c>
      <c r="AI452" s="98">
        <f t="shared" si="265"/>
        <v>1.5707963267948966</v>
      </c>
      <c r="AJ452" s="98" t="str">
        <f t="shared" si="251"/>
        <v>1+13.5468926811937i</v>
      </c>
      <c r="AK452" s="98">
        <f t="shared" si="266"/>
        <v>13.583751371244228</v>
      </c>
      <c r="AL452" s="98">
        <f t="shared" si="267"/>
        <v>1.4971123027440949</v>
      </c>
      <c r="AM452" s="98" t="str">
        <f t="shared" si="252"/>
        <v>1+934.73559500236i</v>
      </c>
      <c r="AN452" s="98">
        <f t="shared" si="268"/>
        <v>934.73612991283062</v>
      </c>
      <c r="AO452" s="98">
        <f t="shared" si="269"/>
        <v>1.5697265059558905</v>
      </c>
      <c r="AP452" s="168" t="str">
        <f t="shared" si="270"/>
        <v>-0.00192804670071649+0.0265052382925598i</v>
      </c>
      <c r="AQ452" s="98">
        <f t="shared" si="271"/>
        <v>-31.510446009052675</v>
      </c>
      <c r="AR452" s="169">
        <f t="shared" si="272"/>
        <v>94.160487376741173</v>
      </c>
      <c r="AS452" s="168" t="str">
        <f t="shared" si="273"/>
        <v>-0.000331404199638357-0.000505557586326425i</v>
      </c>
      <c r="AT452" s="190">
        <f t="shared" si="274"/>
        <v>-64.372109947193238</v>
      </c>
      <c r="AU452" s="169">
        <f t="shared" si="275"/>
        <v>-123.24572933136474</v>
      </c>
      <c r="AV452" s="225"/>
      <c r="AX452">
        <f t="shared" si="276"/>
        <v>0</v>
      </c>
      <c r="AY452">
        <f t="shared" si="277"/>
        <v>0</v>
      </c>
    </row>
    <row r="453" spans="14:51" x14ac:dyDescent="0.3">
      <c r="N453" s="170">
        <v>35</v>
      </c>
      <c r="O453" s="199">
        <f t="shared" si="278"/>
        <v>223872.11385683404</v>
      </c>
      <c r="P453" s="189" t="str">
        <f t="shared" si="244"/>
        <v>108.75</v>
      </c>
      <c r="Q453" s="160" t="str">
        <f t="shared" si="245"/>
        <v>1+3570.0268802872i</v>
      </c>
      <c r="R453" s="160">
        <f t="shared" si="253"/>
        <v>3570.0270203421651</v>
      </c>
      <c r="S453" s="160">
        <f t="shared" si="254"/>
        <v>1.5705162168664901</v>
      </c>
      <c r="T453" s="160" t="str">
        <f t="shared" si="246"/>
        <v>1+0.132223217788415i</v>
      </c>
      <c r="U453" s="160">
        <f t="shared" si="255"/>
        <v>1.008703613219623</v>
      </c>
      <c r="V453" s="160">
        <f t="shared" si="256"/>
        <v>0.13146064920184833</v>
      </c>
      <c r="W453" s="98" t="str">
        <f t="shared" si="247"/>
        <v>1-1.05028371576614i</v>
      </c>
      <c r="X453" s="160">
        <f t="shared" si="257"/>
        <v>1.4502054625478178</v>
      </c>
      <c r="Y453" s="160">
        <f t="shared" si="258"/>
        <v>-0.80991849555264117</v>
      </c>
      <c r="Z453" s="98" t="str">
        <f t="shared" si="248"/>
        <v>-0.01237163717162+2.02589721386319i</v>
      </c>
      <c r="AA453" s="160">
        <f t="shared" si="259"/>
        <v>2.0259349887261786</v>
      </c>
      <c r="AB453" s="160">
        <f t="shared" si="260"/>
        <v>1.576902995633443</v>
      </c>
      <c r="AC453" s="171" t="str">
        <f t="shared" si="261"/>
        <v>-0.0170433556524001+0.0139034953124433i</v>
      </c>
      <c r="AD453" s="190">
        <f t="shared" si="262"/>
        <v>-33.153492586286255</v>
      </c>
      <c r="AE453" s="169">
        <f t="shared" si="263"/>
        <v>140.79339159192895</v>
      </c>
      <c r="AF453" s="98" t="str">
        <f t="shared" si="249"/>
        <v>-0.0000366300366300366</v>
      </c>
      <c r="AG453" s="98" t="str">
        <f t="shared" si="250"/>
        <v>0.0970574683766022i</v>
      </c>
      <c r="AH453" s="98">
        <f t="shared" si="264"/>
        <v>9.7057468376602202E-2</v>
      </c>
      <c r="AI453" s="98">
        <f t="shared" si="265"/>
        <v>1.5707963267948966</v>
      </c>
      <c r="AJ453" s="98" t="str">
        <f t="shared" si="251"/>
        <v>1+13.8624403478449i</v>
      </c>
      <c r="AK453" s="98">
        <f t="shared" si="266"/>
        <v>13.898462231396618</v>
      </c>
      <c r="AL453" s="98">
        <f t="shared" si="267"/>
        <v>1.4987836962105063</v>
      </c>
      <c r="AM453" s="98" t="str">
        <f t="shared" si="252"/>
        <v>1+956.508384001298i</v>
      </c>
      <c r="AN453" s="98">
        <f t="shared" si="268"/>
        <v>956.50890673572644</v>
      </c>
      <c r="AO453" s="98">
        <f t="shared" si="269"/>
        <v>1.5697508580333142</v>
      </c>
      <c r="AP453" s="168" t="str">
        <f t="shared" si="270"/>
        <v>-0.00184171953402076+0.0259081328246296i</v>
      </c>
      <c r="AQ453" s="98">
        <f t="shared" si="271"/>
        <v>-31.709386779277004</v>
      </c>
      <c r="AR453" s="169">
        <f t="shared" si="272"/>
        <v>94.066118856468833</v>
      </c>
      <c r="AS453" s="168" t="str">
        <f t="shared" si="273"/>
        <v>-0.000328824522251108-0.000467167860927876i</v>
      </c>
      <c r="AT453" s="190">
        <f t="shared" si="274"/>
        <v>-64.862879365563259</v>
      </c>
      <c r="AU453" s="169">
        <f t="shared" si="275"/>
        <v>-125.14048955160226</v>
      </c>
      <c r="AV453" s="225"/>
      <c r="AX453">
        <f t="shared" si="276"/>
        <v>0</v>
      </c>
      <c r="AY453">
        <f t="shared" si="277"/>
        <v>0</v>
      </c>
    </row>
    <row r="454" spans="14:51" x14ac:dyDescent="0.3">
      <c r="N454" s="170">
        <v>36</v>
      </c>
      <c r="O454" s="199">
        <f t="shared" si="278"/>
        <v>229086.76527677779</v>
      </c>
      <c r="P454" s="189" t="str">
        <f t="shared" si="244"/>
        <v>108.75</v>
      </c>
      <c r="Q454" s="160" t="str">
        <f t="shared" si="245"/>
        <v>1+3653.18348885181i</v>
      </c>
      <c r="R454" s="160">
        <f t="shared" si="253"/>
        <v>3653.1836257187351</v>
      </c>
      <c r="S454" s="160">
        <f t="shared" si="254"/>
        <v>1.5705225929465765</v>
      </c>
      <c r="T454" s="160" t="str">
        <f t="shared" si="246"/>
        <v>1+0.135303092179697i</v>
      </c>
      <c r="U454" s="160">
        <f t="shared" si="255"/>
        <v>1.0091119495642629</v>
      </c>
      <c r="V454" s="160">
        <f t="shared" si="256"/>
        <v>0.13448638317740003</v>
      </c>
      <c r="W454" s="98" t="str">
        <f t="shared" si="247"/>
        <v>1-1.07474796625008i</v>
      </c>
      <c r="X454" s="160">
        <f t="shared" si="257"/>
        <v>1.4680201602698388</v>
      </c>
      <c r="Y454" s="160">
        <f t="shared" si="258"/>
        <v>-0.82141008010662575</v>
      </c>
      <c r="Z454" s="98" t="str">
        <f t="shared" si="248"/>
        <v>-0.06008324251943+2.07308642202731i</v>
      </c>
      <c r="AA454" s="160">
        <f t="shared" si="259"/>
        <v>2.0739569207738242</v>
      </c>
      <c r="AB454" s="160">
        <f t="shared" si="260"/>
        <v>1.5997707232950089</v>
      </c>
      <c r="AC454" s="171" t="str">
        <f t="shared" si="261"/>
        <v>-0.0160470202745037+0.0139505710138216i</v>
      </c>
      <c r="AD454" s="190">
        <f t="shared" si="262"/>
        <v>-33.447411984165207</v>
      </c>
      <c r="AE454" s="169">
        <f t="shared" si="263"/>
        <v>138.99774447925526</v>
      </c>
      <c r="AF454" s="98" t="str">
        <f t="shared" si="249"/>
        <v>-0.0000366300366300366</v>
      </c>
      <c r="AG454" s="98" t="str">
        <f t="shared" si="250"/>
        <v>0.0993182272382881i</v>
      </c>
      <c r="AH454" s="98">
        <f t="shared" si="264"/>
        <v>9.9318227238288107E-2</v>
      </c>
      <c r="AI454" s="98">
        <f t="shared" si="265"/>
        <v>1.5707963267948966</v>
      </c>
      <c r="AJ454" s="98" t="str">
        <f t="shared" si="251"/>
        <v>1+14.1853380638597i</v>
      </c>
      <c r="AK454" s="98">
        <f t="shared" si="266"/>
        <v>14.220542042622245</v>
      </c>
      <c r="AL454" s="98">
        <f t="shared" si="267"/>
        <v>1.5004174336602878</v>
      </c>
      <c r="AM454" s="98" t="str">
        <f t="shared" si="252"/>
        <v>1+978.788326406316i</v>
      </c>
      <c r="AN454" s="98">
        <f t="shared" si="268"/>
        <v>978.78883724186232</v>
      </c>
      <c r="AO454" s="98">
        <f t="shared" si="269"/>
        <v>1.5697746557909786</v>
      </c>
      <c r="AP454" s="168" t="str">
        <f t="shared" si="270"/>
        <v>-0.00175923839800526+0.0253242062560855i</v>
      </c>
      <c r="AQ454" s="98">
        <f t="shared" si="271"/>
        <v>-31.908374981372226</v>
      </c>
      <c r="AR454" s="169">
        <f t="shared" si="272"/>
        <v>93.973876106839924</v>
      </c>
      <c r="AS454" s="168" t="str">
        <f t="shared" si="273"/>
        <v>-0.00032505660350371-0.000430920431428732i</v>
      </c>
      <c r="AT454" s="190">
        <f t="shared" si="274"/>
        <v>-65.355786965537433</v>
      </c>
      <c r="AU454" s="169">
        <f t="shared" si="275"/>
        <v>-127.02837941390479</v>
      </c>
      <c r="AV454" s="225"/>
      <c r="AX454">
        <f t="shared" si="276"/>
        <v>0</v>
      </c>
      <c r="AY454">
        <f t="shared" si="277"/>
        <v>0</v>
      </c>
    </row>
    <row r="455" spans="14:51" x14ac:dyDescent="0.3">
      <c r="N455" s="170">
        <v>37</v>
      </c>
      <c r="O455" s="199">
        <f t="shared" si="278"/>
        <v>234422.88153199267</v>
      </c>
      <c r="P455" s="189" t="str">
        <f t="shared" si="244"/>
        <v>108.75</v>
      </c>
      <c r="Q455" s="160" t="str">
        <f t="shared" si="245"/>
        <v>1+3738.27706365782i</v>
      </c>
      <c r="R455" s="160">
        <f t="shared" si="253"/>
        <v>3738.2771974092739</v>
      </c>
      <c r="S455" s="160">
        <f t="shared" si="254"/>
        <v>1.570528823889382</v>
      </c>
      <c r="T455" s="160" t="str">
        <f t="shared" si="246"/>
        <v>1+0.138454706061401i</v>
      </c>
      <c r="U455" s="160">
        <f t="shared" si="255"/>
        <v>1.009539353185674</v>
      </c>
      <c r="V455" s="160">
        <f t="shared" si="256"/>
        <v>0.13758003258800539</v>
      </c>
      <c r="W455" s="98" t="str">
        <f t="shared" si="247"/>
        <v>1-1.0997820623317i</v>
      </c>
      <c r="X455" s="160">
        <f t="shared" si="257"/>
        <v>1.4864456211468242</v>
      </c>
      <c r="Y455" s="160">
        <f t="shared" si="258"/>
        <v>-0.83288264164677883</v>
      </c>
      <c r="Z455" s="98" t="str">
        <f t="shared" si="248"/>
        <v>-0.11004342655246+2.12137480805293i</v>
      </c>
      <c r="AA455" s="160">
        <f t="shared" si="259"/>
        <v>2.1242270669514149</v>
      </c>
      <c r="AB455" s="160">
        <f t="shared" si="260"/>
        <v>1.6226235102094628</v>
      </c>
      <c r="AC455" s="171" t="str">
        <f t="shared" si="261"/>
        <v>-0.0150806841711476+0.0139609838065324i</v>
      </c>
      <c r="AD455" s="190">
        <f t="shared" si="262"/>
        <v>-33.743417907954466</v>
      </c>
      <c r="AE455" s="169">
        <f t="shared" si="263"/>
        <v>137.20794293028584</v>
      </c>
      <c r="AF455" s="98" t="str">
        <f t="shared" si="249"/>
        <v>-0.0000366300366300366</v>
      </c>
      <c r="AG455" s="98" t="str">
        <f t="shared" si="250"/>
        <v>0.101631645938688i</v>
      </c>
      <c r="AH455" s="98">
        <f t="shared" si="264"/>
        <v>0.101631645938688</v>
      </c>
      <c r="AI455" s="98">
        <f t="shared" si="265"/>
        <v>1.5707963267948966</v>
      </c>
      <c r="AJ455" s="98" t="str">
        <f t="shared" si="251"/>
        <v>1+14.5157570338811i</v>
      </c>
      <c r="AK455" s="98">
        <f t="shared" si="266"/>
        <v>14.550161589022597</v>
      </c>
      <c r="AL455" s="98">
        <f t="shared" si="267"/>
        <v>1.5020143464182405</v>
      </c>
      <c r="AM455" s="98" t="str">
        <f t="shared" si="252"/>
        <v>1+1001.58723533779i</v>
      </c>
      <c r="AN455" s="98">
        <f t="shared" si="268"/>
        <v>1001.5877345453057</v>
      </c>
      <c r="AO455" s="98">
        <f t="shared" si="269"/>
        <v>1.5697979118466616</v>
      </c>
      <c r="AP455" s="168" t="str">
        <f t="shared" si="270"/>
        <v>-0.0016804336284487+0.024753185856747i</v>
      </c>
      <c r="AQ455" s="98">
        <f t="shared" si="271"/>
        <v>-32.107408501683359</v>
      </c>
      <c r="AR455" s="169">
        <f t="shared" si="272"/>
        <v>93.88371221939741</v>
      </c>
      <c r="AS455" s="168" t="str">
        <f t="shared" si="273"/>
        <v>-0.000320236738084921-0.000396755484810044i</v>
      </c>
      <c r="AT455" s="190">
        <f t="shared" si="274"/>
        <v>-65.850826409637818</v>
      </c>
      <c r="AU455" s="169">
        <f t="shared" si="275"/>
        <v>-128.90834485031669</v>
      </c>
      <c r="AV455" s="225"/>
      <c r="AX455">
        <f t="shared" si="276"/>
        <v>0</v>
      </c>
      <c r="AY455">
        <f t="shared" si="277"/>
        <v>0</v>
      </c>
    </row>
    <row r="456" spans="14:51" x14ac:dyDescent="0.3">
      <c r="N456" s="170">
        <v>38</v>
      </c>
      <c r="O456" s="199">
        <f t="shared" si="278"/>
        <v>239883.29190194907</v>
      </c>
      <c r="P456" s="189" t="str">
        <f t="shared" si="244"/>
        <v>108.75</v>
      </c>
      <c r="Q456" s="160" t="str">
        <f t="shared" si="245"/>
        <v>1+3825.35272244491i</v>
      </c>
      <c r="R456" s="160">
        <f t="shared" si="253"/>
        <v>3825.3528531518082</v>
      </c>
      <c r="S456" s="160">
        <f t="shared" si="254"/>
        <v>1.5705349129986332</v>
      </c>
      <c r="T456" s="160" t="str">
        <f t="shared" si="246"/>
        <v>1+0.141679730460923i</v>
      </c>
      <c r="U456" s="160">
        <f t="shared" si="255"/>
        <v>1.0099867058647256</v>
      </c>
      <c r="V456" s="160">
        <f t="shared" si="256"/>
        <v>0.14074300073649662</v>
      </c>
      <c r="W456" s="98" t="str">
        <f t="shared" si="247"/>
        <v>1-1.1253992774201i</v>
      </c>
      <c r="X456" s="160">
        <f t="shared" si="257"/>
        <v>1.5054977693831644</v>
      </c>
      <c r="Y456" s="160">
        <f t="shared" si="258"/>
        <v>-0.84433018397034687</v>
      </c>
      <c r="Z456" s="98" t="str">
        <f t="shared" si="248"/>
        <v>-0.16235816151931+2.17078797508148i</v>
      </c>
      <c r="AA456" s="160">
        <f t="shared" si="259"/>
        <v>2.1768510756067543</v>
      </c>
      <c r="AB456" s="160">
        <f t="shared" si="260"/>
        <v>1.6454496037915118</v>
      </c>
      <c r="AC456" s="171" t="str">
        <f t="shared" si="261"/>
        <v>-0.0141451681900054+0.013936820806358i</v>
      </c>
      <c r="AD456" s="190">
        <f t="shared" si="262"/>
        <v>-34.041503607689869</v>
      </c>
      <c r="AE456" s="169">
        <f t="shared" si="263"/>
        <v>135.42508408970755</v>
      </c>
      <c r="AF456" s="98" t="str">
        <f t="shared" si="249"/>
        <v>-0.0000366300366300366</v>
      </c>
      <c r="AG456" s="98" t="str">
        <f t="shared" si="250"/>
        <v>0.103998951083018i</v>
      </c>
      <c r="AH456" s="98">
        <f t="shared" si="264"/>
        <v>0.103998951083018</v>
      </c>
      <c r="AI456" s="98">
        <f t="shared" si="265"/>
        <v>1.5707963267948966</v>
      </c>
      <c r="AJ456" s="98" t="str">
        <f t="shared" si="251"/>
        <v>1+14.8538724504205i</v>
      </c>
      <c r="AK456" s="98">
        <f t="shared" si="266"/>
        <v>14.887495651497638</v>
      </c>
      <c r="AL456" s="98">
        <f t="shared" si="267"/>
        <v>1.5035752485916598</v>
      </c>
      <c r="AM456" s="98" t="str">
        <f t="shared" si="252"/>
        <v>1+1024.91719907901i</v>
      </c>
      <c r="AN456" s="98">
        <f t="shared" si="268"/>
        <v>1024.9176869231806</v>
      </c>
      <c r="AO456" s="98">
        <f t="shared" si="269"/>
        <v>1.5698206385309315</v>
      </c>
      <c r="AP456" s="168" t="str">
        <f t="shared" si="270"/>
        <v>-0.0016051428981947+0.0241948033175093i</v>
      </c>
      <c r="AQ456" s="98">
        <f t="shared" si="271"/>
        <v>-32.306485319839723</v>
      </c>
      <c r="AR456" s="169">
        <f t="shared" si="272"/>
        <v>93.795581255718659</v>
      </c>
      <c r="AS456" s="168" t="str">
        <f t="shared" si="273"/>
        <v>-0.000314493622017246-0.000364610151191007i</v>
      </c>
      <c r="AT456" s="190">
        <f t="shared" si="274"/>
        <v>-66.347988927529599</v>
      </c>
      <c r="AU456" s="169">
        <f t="shared" si="275"/>
        <v>-130.77933465457374</v>
      </c>
      <c r="AV456" s="225"/>
      <c r="AX456">
        <f t="shared" si="276"/>
        <v>0</v>
      </c>
      <c r="AY456">
        <f t="shared" si="277"/>
        <v>0</v>
      </c>
    </row>
    <row r="457" spans="14:51" x14ac:dyDescent="0.3">
      <c r="N457" s="170">
        <v>39</v>
      </c>
      <c r="O457" s="199">
        <f t="shared" si="278"/>
        <v>245470.89156850305</v>
      </c>
      <c r="P457" s="189" t="str">
        <f t="shared" si="244"/>
        <v>108.75</v>
      </c>
      <c r="Q457" s="160" t="str">
        <f t="shared" si="245"/>
        <v>1+3914.45663387997i</v>
      </c>
      <c r="R457" s="160">
        <f t="shared" si="253"/>
        <v>3914.4567616116165</v>
      </c>
      <c r="S457" s="160">
        <f t="shared" si="254"/>
        <v>1.5705408635028548</v>
      </c>
      <c r="T457" s="160" t="str">
        <f t="shared" si="246"/>
        <v>1+0.144979875328888i</v>
      </c>
      <c r="U457" s="160">
        <f t="shared" si="255"/>
        <v>1.0104549293513194</v>
      </c>
      <c r="V457" s="160">
        <f t="shared" si="256"/>
        <v>0.14397671138972687</v>
      </c>
      <c r="W457" s="98" t="str">
        <f t="shared" si="247"/>
        <v>1-1.15161319410181i</v>
      </c>
      <c r="X457" s="160">
        <f t="shared" si="257"/>
        <v>1.5251927579258213</v>
      </c>
      <c r="Y457" s="160">
        <f t="shared" si="258"/>
        <v>-0.85574677642834784</v>
      </c>
      <c r="Z457" s="98" t="str">
        <f t="shared" si="248"/>
        <v>-0.21713841398683+2.22135212262821i</v>
      </c>
      <c r="AA457" s="160">
        <f t="shared" si="259"/>
        <v>2.2319395922680272</v>
      </c>
      <c r="AB457" s="160">
        <f t="shared" si="260"/>
        <v>1.668237318534822</v>
      </c>
      <c r="AC457" s="171" t="str">
        <f t="shared" si="261"/>
        <v>-0.0132411669547241+0.0138801947514377i</v>
      </c>
      <c r="AD457" s="190">
        <f t="shared" si="262"/>
        <v>-34.341659790569018</v>
      </c>
      <c r="AE457" s="169">
        <f t="shared" si="263"/>
        <v>133.65025867972267</v>
      </c>
      <c r="AF457" s="98" t="str">
        <f t="shared" si="249"/>
        <v>-0.0000366300366300366</v>
      </c>
      <c r="AG457" s="98" t="str">
        <f t="shared" si="250"/>
        <v>0.106421397847801i</v>
      </c>
      <c r="AH457" s="98">
        <f t="shared" si="264"/>
        <v>0.106421397847801</v>
      </c>
      <c r="AI457" s="98">
        <f t="shared" si="265"/>
        <v>1.5707963267948966</v>
      </c>
      <c r="AJ457" s="98" t="str">
        <f t="shared" si="251"/>
        <v>1+15.1998635867475i</v>
      </c>
      <c r="AK457" s="98">
        <f t="shared" si="266"/>
        <v>15.232723100474601</v>
      </c>
      <c r="AL457" s="98">
        <f t="shared" si="267"/>
        <v>1.505100937350381</v>
      </c>
      <c r="AM457" s="98" t="str">
        <f t="shared" si="252"/>
        <v>1+1048.79058748557i</v>
      </c>
      <c r="AN457" s="98">
        <f t="shared" si="268"/>
        <v>1048.791064225057</v>
      </c>
      <c r="AO457" s="98">
        <f t="shared" si="269"/>
        <v>1.5698428478936826</v>
      </c>
      <c r="AP457" s="168" t="str">
        <f t="shared" si="270"/>
        <v>-0.00153321091283359+0.0236487947655044i</v>
      </c>
      <c r="AQ457" s="98">
        <f t="shared" si="271"/>
        <v>-32.505603504716916</v>
      </c>
      <c r="AR457" s="169">
        <f t="shared" si="272"/>
        <v>93.709438231744713</v>
      </c>
      <c r="AS457" s="168" t="str">
        <f t="shared" si="273"/>
        <v>-0.000307948375308347-0.000334418905833209i</v>
      </c>
      <c r="AT457" s="190">
        <f t="shared" si="274"/>
        <v>-66.847263295285927</v>
      </c>
      <c r="AU457" s="169">
        <f t="shared" si="275"/>
        <v>-132.64030308853259</v>
      </c>
      <c r="AV457" s="225"/>
      <c r="AX457">
        <f t="shared" si="276"/>
        <v>0</v>
      </c>
      <c r="AY457">
        <f t="shared" si="277"/>
        <v>0</v>
      </c>
    </row>
    <row r="458" spans="14:51" x14ac:dyDescent="0.3">
      <c r="N458" s="170">
        <v>40</v>
      </c>
      <c r="O458" s="199">
        <f t="shared" si="278"/>
        <v>251188.64315095844</v>
      </c>
      <c r="P458" s="189" t="str">
        <f t="shared" si="244"/>
        <v>108.75</v>
      </c>
      <c r="Q458" s="160" t="str">
        <f t="shared" si="245"/>
        <v>1+4005.6360420363i</v>
      </c>
      <c r="R458" s="160">
        <f t="shared" si="253"/>
        <v>4005.63616686042</v>
      </c>
      <c r="S458" s="160">
        <f t="shared" si="254"/>
        <v>1.570546678557081</v>
      </c>
      <c r="T458" s="160" t="str">
        <f t="shared" si="246"/>
        <v>1+0.148356890445789i</v>
      </c>
      <c r="U458" s="160">
        <f t="shared" si="255"/>
        <v>1.0109449871000618</v>
      </c>
      <c r="V458" s="160">
        <f t="shared" si="256"/>
        <v>0.14728260844632024</v>
      </c>
      <c r="W458" s="98" t="str">
        <f t="shared" si="247"/>
        <v>1-1.17843771134244i</v>
      </c>
      <c r="X458" s="160">
        <f t="shared" si="257"/>
        <v>1.5455469709827676</v>
      </c>
      <c r="Y458" s="160">
        <f t="shared" si="258"/>
        <v>-0.8671265689896055</v>
      </c>
      <c r="Z458" s="98" t="str">
        <f t="shared" si="248"/>
        <v>-0.27450038021501+2.27309406047343i</v>
      </c>
      <c r="AA458" s="160">
        <f t="shared" si="259"/>
        <v>2.289608496336824</v>
      </c>
      <c r="AB458" s="160">
        <f t="shared" si="260"/>
        <v>1.6909750650686488</v>
      </c>
      <c r="AC458" s="171" t="str">
        <f t="shared" si="261"/>
        <v>-0.0123692477131315+0.0137932333445008i</v>
      </c>
      <c r="AD458" s="190">
        <f t="shared" si="262"/>
        <v>-34.643874612317582</v>
      </c>
      <c r="AE458" s="169">
        <f t="shared" si="263"/>
        <v>131.88454845298435</v>
      </c>
      <c r="AF458" s="98" t="str">
        <f t="shared" si="249"/>
        <v>-0.0000366300366300366</v>
      </c>
      <c r="AG458" s="98" t="str">
        <f t="shared" si="250"/>
        <v>0.108900270646377i</v>
      </c>
      <c r="AH458" s="98">
        <f t="shared" si="264"/>
        <v>0.108900270646377</v>
      </c>
      <c r="AI458" s="98">
        <f t="shared" si="265"/>
        <v>1.5707963267948966</v>
      </c>
      <c r="AJ458" s="98" t="str">
        <f t="shared" si="251"/>
        <v>1+15.5539138919421i</v>
      </c>
      <c r="AK458" s="98">
        <f t="shared" si="266"/>
        <v>15.586026990800107</v>
      </c>
      <c r="AL458" s="98">
        <f t="shared" si="267"/>
        <v>1.5065921932077013</v>
      </c>
      <c r="AM458" s="98" t="str">
        <f t="shared" si="252"/>
        <v>1+1073.220058544i</v>
      </c>
      <c r="AN458" s="98">
        <f t="shared" si="268"/>
        <v>1073.220524431576</v>
      </c>
      <c r="AO458" s="98">
        <f t="shared" si="269"/>
        <v>1.5698645517105256</v>
      </c>
      <c r="AP458" s="168" t="str">
        <f t="shared" si="270"/>
        <v>-0.001464489117854+0.0231149007715603i</v>
      </c>
      <c r="AQ458" s="98">
        <f t="shared" si="271"/>
        <v>-32.704761210566751</v>
      </c>
      <c r="AR458" s="169">
        <f t="shared" si="272"/>
        <v>93.625239102050514</v>
      </c>
      <c r="AS458" s="168" t="str">
        <f t="shared" si="273"/>
        <v>-0.000300714591405191-0.000306113973640926i</v>
      </c>
      <c r="AT458" s="190">
        <f t="shared" si="274"/>
        <v>-67.348635822884347</v>
      </c>
      <c r="AU458" s="169">
        <f t="shared" si="275"/>
        <v>-134.4902124449651</v>
      </c>
      <c r="AV458" s="225"/>
      <c r="AX458">
        <f t="shared" si="276"/>
        <v>0</v>
      </c>
      <c r="AY458">
        <f t="shared" si="277"/>
        <v>0</v>
      </c>
    </row>
    <row r="459" spans="14:51" x14ac:dyDescent="0.3">
      <c r="N459" s="170">
        <v>41</v>
      </c>
      <c r="O459" s="199">
        <f t="shared" si="278"/>
        <v>257039.57827688678</v>
      </c>
      <c r="P459" s="189" t="str">
        <f t="shared" si="244"/>
        <v>108.75</v>
      </c>
      <c r="Q459" s="160" t="str">
        <f t="shared" si="245"/>
        <v>1+4098.93929144295i</v>
      </c>
      <c r="R459" s="160">
        <f t="shared" si="253"/>
        <v>4098.9394134257263</v>
      </c>
      <c r="S459" s="160">
        <f t="shared" si="254"/>
        <v>1.5705523612445291</v>
      </c>
      <c r="T459" s="160" t="str">
        <f t="shared" si="246"/>
        <v>1+0.15181256634974i</v>
      </c>
      <c r="U459" s="160">
        <f t="shared" si="255"/>
        <v>1.0114578860742023</v>
      </c>
      <c r="V459" s="160">
        <f t="shared" si="256"/>
        <v>0.15066215554639753</v>
      </c>
      <c r="W459" s="98" t="str">
        <f t="shared" si="247"/>
        <v>1-1.20588705185609i</v>
      </c>
      <c r="X459" s="160">
        <f t="shared" si="257"/>
        <v>1.5665770270989461</v>
      </c>
      <c r="Y459" s="160">
        <f t="shared" si="258"/>
        <v>-0.87846380679690972</v>
      </c>
      <c r="Z459" s="98" t="str">
        <f t="shared" si="248"/>
        <v>-0.33456573262486+2.32604122287746i</v>
      </c>
      <c r="AA459" s="160">
        <f t="shared" si="259"/>
        <v>2.3499791488377251</v>
      </c>
      <c r="AB459" s="160">
        <f t="shared" si="260"/>
        <v>1.7136513786436762</v>
      </c>
      <c r="AC459" s="171" t="str">
        <f t="shared" si="261"/>
        <v>-0.0115298502581208+0.0136780686445086i</v>
      </c>
      <c r="AD459" s="190">
        <f t="shared" si="262"/>
        <v>-34.948133676616969</v>
      </c>
      <c r="AE459" s="169">
        <f t="shared" si="263"/>
        <v>130.12902370401841</v>
      </c>
      <c r="AF459" s="98" t="str">
        <f t="shared" si="249"/>
        <v>-0.0000366300366300366</v>
      </c>
      <c r="AG459" s="98" t="str">
        <f t="shared" si="250"/>
        <v>0.111436883809915i</v>
      </c>
      <c r="AH459" s="98">
        <f t="shared" si="264"/>
        <v>0.111436883809915</v>
      </c>
      <c r="AI459" s="98">
        <f t="shared" si="265"/>
        <v>1.5707963267948966</v>
      </c>
      <c r="AJ459" s="98" t="str">
        <f t="shared" si="251"/>
        <v>1+15.9162110881626i</v>
      </c>
      <c r="AK459" s="98">
        <f t="shared" si="266"/>
        <v>15.947594658849031</v>
      </c>
      <c r="AL459" s="98">
        <f t="shared" si="267"/>
        <v>1.5080497803017059</v>
      </c>
      <c r="AM459" s="98" t="str">
        <f t="shared" si="252"/>
        <v>1+1098.21856508322i</v>
      </c>
      <c r="AN459" s="98">
        <f t="shared" si="268"/>
        <v>1098.2190203659043</v>
      </c>
      <c r="AO459" s="98">
        <f t="shared" si="269"/>
        <v>1.5698857614890298</v>
      </c>
      <c r="AP459" s="168" t="str">
        <f t="shared" si="270"/>
        <v>-0.00139883541693735+0.0225928663505848i</v>
      </c>
      <c r="AQ459" s="98">
        <f t="shared" si="271"/>
        <v>-32.903956673309025</v>
      </c>
      <c r="AR459" s="169">
        <f t="shared" si="272"/>
        <v>93.542940744084021</v>
      </c>
      <c r="AS459" s="168" t="str">
        <f t="shared" si="273"/>
        <v>-0.000292898413926464-0.000279625732779218i</v>
      </c>
      <c r="AT459" s="190">
        <f t="shared" si="274"/>
        <v>-67.852090349925987</v>
      </c>
      <c r="AU459" s="169">
        <f t="shared" si="275"/>
        <v>-136.32803555189756</v>
      </c>
      <c r="AV459" s="225"/>
      <c r="AX459">
        <f t="shared" si="276"/>
        <v>0</v>
      </c>
      <c r="AY459">
        <f t="shared" si="277"/>
        <v>0</v>
      </c>
    </row>
    <row r="460" spans="14:51" x14ac:dyDescent="0.3">
      <c r="N460" s="170">
        <v>42</v>
      </c>
      <c r="O460" s="199">
        <f t="shared" si="278"/>
        <v>263026.79918953858</v>
      </c>
      <c r="P460" s="189" t="str">
        <f t="shared" si="244"/>
        <v>108.75</v>
      </c>
      <c r="Q460" s="160" t="str">
        <f t="shared" si="245"/>
        <v>1+4194.41585271781i</v>
      </c>
      <c r="R460" s="160">
        <f t="shared" si="253"/>
        <v>4194.4159719239187</v>
      </c>
      <c r="S460" s="160">
        <f t="shared" si="254"/>
        <v>1.5705579145782336</v>
      </c>
      <c r="T460" s="160" t="str">
        <f t="shared" si="246"/>
        <v>1+0.155348735285845i</v>
      </c>
      <c r="U460" s="160">
        <f t="shared" si="255"/>
        <v>1.0119946786198588</v>
      </c>
      <c r="V460" s="160">
        <f t="shared" si="256"/>
        <v>0.15411683561919728</v>
      </c>
      <c r="W460" s="98" t="str">
        <f t="shared" si="247"/>
        <v>1-1.23397576964643i</v>
      </c>
      <c r="X460" s="160">
        <f t="shared" si="257"/>
        <v>1.5882997828100649</v>
      </c>
      <c r="Y460" s="160">
        <f t="shared" si="258"/>
        <v>-0.88975284412988509</v>
      </c>
      <c r="Z460" s="98" t="str">
        <f t="shared" si="248"/>
        <v>-0.39746187788195+2.38022168312666i</v>
      </c>
      <c r="AA460" s="160">
        <f t="shared" si="259"/>
        <v>2.4131786517362852</v>
      </c>
      <c r="AB460" s="160">
        <f t="shared" si="260"/>
        <v>1.7362549468823669</v>
      </c>
      <c r="AC460" s="171" t="str">
        <f t="shared" si="261"/>
        <v>-0.010723287896291+0.0135368266264712i</v>
      </c>
      <c r="AD460" s="190">
        <f t="shared" si="262"/>
        <v>-35.254420042525545</v>
      </c>
      <c r="AE460" s="169">
        <f t="shared" si="263"/>
        <v>128.38474085321647</v>
      </c>
      <c r="AF460" s="98" t="str">
        <f t="shared" si="249"/>
        <v>-0.0000366300366300366</v>
      </c>
      <c r="AG460" s="98" t="str">
        <f t="shared" si="250"/>
        <v>0.114032582284291i</v>
      </c>
      <c r="AH460" s="98">
        <f t="shared" si="264"/>
        <v>0.114032582284291</v>
      </c>
      <c r="AI460" s="98">
        <f t="shared" si="265"/>
        <v>1.5707963267948966</v>
      </c>
      <c r="AJ460" s="98" t="str">
        <f t="shared" si="251"/>
        <v>1+16.286947270178i</v>
      </c>
      <c r="AK460" s="98">
        <f t="shared" si="266"/>
        <v>16.317617821899084</v>
      </c>
      <c r="AL460" s="98">
        <f t="shared" si="267"/>
        <v>1.5094744466765442</v>
      </c>
      <c r="AM460" s="98" t="str">
        <f t="shared" si="252"/>
        <v>1+1123.79936164228i</v>
      </c>
      <c r="AN460" s="98">
        <f t="shared" si="268"/>
        <v>1123.7998065614695</v>
      </c>
      <c r="AO460" s="98">
        <f t="shared" si="269"/>
        <v>1.5699064884748239</v>
      </c>
      <c r="AP460" s="168" t="str">
        <f t="shared" si="270"/>
        <v>-0.00133611390106715+0.0220824409554616i</v>
      </c>
      <c r="AQ460" s="98">
        <f t="shared" si="271"/>
        <v>-33.103188206978324</v>
      </c>
      <c r="AR460" s="169">
        <f t="shared" si="272"/>
        <v>93.4625009423996</v>
      </c>
      <c r="AS460" s="168" t="str">
        <f t="shared" si="273"/>
        <v>-0.000284598640679991-0.000254883114050226i</v>
      </c>
      <c r="AT460" s="190">
        <f t="shared" si="274"/>
        <v>-68.357608249503869</v>
      </c>
      <c r="AU460" s="169">
        <f t="shared" si="275"/>
        <v>-138.1527582043839</v>
      </c>
      <c r="AV460" s="225"/>
      <c r="AX460">
        <f t="shared" si="276"/>
        <v>0</v>
      </c>
      <c r="AY460">
        <f t="shared" si="277"/>
        <v>0</v>
      </c>
    </row>
    <row r="461" spans="14:51" x14ac:dyDescent="0.3">
      <c r="N461" s="170">
        <v>43</v>
      </c>
      <c r="O461" s="199">
        <f t="shared" si="278"/>
        <v>269153.48039269145</v>
      </c>
      <c r="P461" s="189" t="str">
        <f t="shared" si="244"/>
        <v>108.75</v>
      </c>
      <c r="Q461" s="160" t="str">
        <f t="shared" si="245"/>
        <v>1+4292.11634879745i</v>
      </c>
      <c r="R461" s="160">
        <f t="shared" si="253"/>
        <v>4292.116465290097</v>
      </c>
      <c r="S461" s="160">
        <f t="shared" si="254"/>
        <v>1.5705633415026441</v>
      </c>
      <c r="T461" s="160" t="str">
        <f t="shared" si="246"/>
        <v>1+0.158967272177684i</v>
      </c>
      <c r="U461" s="160">
        <f t="shared" si="255"/>
        <v>1.0125564644125353</v>
      </c>
      <c r="V461" s="160">
        <f t="shared" si="256"/>
        <v>0.15764815036430371</v>
      </c>
      <c r="W461" s="98" t="str">
        <f t="shared" si="247"/>
        <v>1-1.26271875772345i</v>
      </c>
      <c r="X461" s="160">
        <f t="shared" si="257"/>
        <v>1.6107323368910966</v>
      </c>
      <c r="Y461" s="160">
        <f t="shared" si="258"/>
        <v>-0.9009881576959371</v>
      </c>
      <c r="Z461" s="98" t="str">
        <f t="shared" si="248"/>
        <v>-0.46332222714301+2.43566416841821i</v>
      </c>
      <c r="AA461" s="160">
        <f t="shared" si="259"/>
        <v>2.4793401193626359</v>
      </c>
      <c r="AB461" s="160">
        <f t="shared" si="260"/>
        <v>1.7587746366369852</v>
      </c>
      <c r="AC461" s="171" t="str">
        <f t="shared" si="261"/>
        <v>-0.00994974942505085+0.0133716170226326i</v>
      </c>
      <c r="AD461" s="190">
        <f t="shared" si="262"/>
        <v>-35.562714239760382</v>
      </c>
      <c r="AE461" s="169">
        <f t="shared" si="263"/>
        <v>126.6527401166541</v>
      </c>
      <c r="AF461" s="98" t="str">
        <f t="shared" si="249"/>
        <v>-0.0000366300366300366</v>
      </c>
      <c r="AG461" s="98" t="str">
        <f t="shared" si="250"/>
        <v>0.116688742343193i</v>
      </c>
      <c r="AH461" s="98">
        <f t="shared" si="264"/>
        <v>0.116688742343193</v>
      </c>
      <c r="AI461" s="98">
        <f t="shared" si="265"/>
        <v>1.5707963267948966</v>
      </c>
      <c r="AJ461" s="98" t="str">
        <f t="shared" si="251"/>
        <v>1+16.6663190072194i</v>
      </c>
      <c r="AK461" s="98">
        <f t="shared" si="266"/>
        <v>16.696292679825742</v>
      </c>
      <c r="AL461" s="98">
        <f t="shared" si="267"/>
        <v>1.510866924563262</v>
      </c>
      <c r="AM461" s="98" t="str">
        <f t="shared" si="252"/>
        <v>1+1149.97601149813i</v>
      </c>
      <c r="AN461" s="98">
        <f t="shared" si="268"/>
        <v>1149.976446289726</v>
      </c>
      <c r="AO461" s="98">
        <f t="shared" si="269"/>
        <v>1.5699267436575588</v>
      </c>
      <c r="AP461" s="168" t="str">
        <f t="shared" si="270"/>
        <v>-0.00127619458812539+0.0215833784650076i</v>
      </c>
      <c r="AQ461" s="98">
        <f t="shared" si="271"/>
        <v>-33.302454200319794</v>
      </c>
      <c r="AR461" s="169">
        <f t="shared" si="272"/>
        <v>93.383878372909365</v>
      </c>
      <c r="AS461" s="168" t="str">
        <f t="shared" si="273"/>
        <v>-0.000275906854519164-0.000231813992751633i</v>
      </c>
      <c r="AT461" s="190">
        <f t="shared" si="274"/>
        <v>-68.865168440080168</v>
      </c>
      <c r="AU461" s="169">
        <f t="shared" si="275"/>
        <v>-139.96338151043656</v>
      </c>
      <c r="AV461" s="225"/>
      <c r="AX461">
        <f t="shared" si="276"/>
        <v>0</v>
      </c>
      <c r="AY461">
        <f t="shared" si="277"/>
        <v>0</v>
      </c>
    </row>
    <row r="462" spans="14:51" x14ac:dyDescent="0.3">
      <c r="N462" s="170">
        <v>44</v>
      </c>
      <c r="O462" s="199">
        <f t="shared" si="278"/>
        <v>275422.87033381703</v>
      </c>
      <c r="P462" s="189" t="str">
        <f t="shared" si="244"/>
        <v>108.75</v>
      </c>
      <c r="Q462" s="160" t="str">
        <f t="shared" si="245"/>
        <v>1+4392.09258177809i</v>
      </c>
      <c r="R462" s="160">
        <f t="shared" si="253"/>
        <v>4392.0926956190406</v>
      </c>
      <c r="S462" s="160">
        <f t="shared" si="254"/>
        <v>1.5705686448951868</v>
      </c>
      <c r="T462" s="160" t="str">
        <f t="shared" si="246"/>
        <v>1+0.162670095621411i</v>
      </c>
      <c r="U462" s="160">
        <f t="shared" si="255"/>
        <v>1.0131443924779326</v>
      </c>
      <c r="V462" s="160">
        <f t="shared" si="256"/>
        <v>0.16125761966197563</v>
      </c>
      <c r="W462" s="98" t="str">
        <f t="shared" si="247"/>
        <v>1-1.29213125599986i</v>
      </c>
      <c r="X462" s="160">
        <f t="shared" si="257"/>
        <v>1.6338920352127848</v>
      </c>
      <c r="Y462" s="160">
        <f t="shared" si="258"/>
        <v>-0.91216435917817651</v>
      </c>
      <c r="Z462" s="98" t="str">
        <f t="shared" si="248"/>
        <v>-0.53228647903888+2.49239807509169i</v>
      </c>
      <c r="AA462" s="160">
        <f t="shared" si="259"/>
        <v>2.5486029625048245</v>
      </c>
      <c r="AB462" s="160">
        <f t="shared" si="260"/>
        <v>1.7811995198078632</v>
      </c>
      <c r="AC462" s="171" t="str">
        <f t="shared" si="261"/>
        <v>-0.00920930206562784+0.0131845235507732i</v>
      </c>
      <c r="AD462" s="190">
        <f t="shared" si="262"/>
        <v>-35.872994291649142</v>
      </c>
      <c r="AE462" s="169">
        <f t="shared" si="263"/>
        <v>124.93404327399776</v>
      </c>
      <c r="AF462" s="98" t="str">
        <f t="shared" si="249"/>
        <v>-0.0000366300366300366</v>
      </c>
      <c r="AG462" s="98" t="str">
        <f t="shared" si="250"/>
        <v>0.119406772317844i</v>
      </c>
      <c r="AH462" s="98">
        <f t="shared" si="264"/>
        <v>0.119406772317844</v>
      </c>
      <c r="AI462" s="98">
        <f t="shared" si="265"/>
        <v>1.5707963267948966</v>
      </c>
      <c r="AJ462" s="98" t="str">
        <f t="shared" si="251"/>
        <v>1+17.0545274472031i</v>
      </c>
      <c r="AK462" s="98">
        <f t="shared" si="266"/>
        <v>17.083820019170297</v>
      </c>
      <c r="AL462" s="98">
        <f t="shared" si="267"/>
        <v>1.5122279306598083</v>
      </c>
      <c r="AM462" s="98" t="str">
        <f t="shared" si="252"/>
        <v>1+1176.76239385701i</v>
      </c>
      <c r="AN462" s="98">
        <f t="shared" si="268"/>
        <v>1176.7628187515447</v>
      </c>
      <c r="AO462" s="98">
        <f t="shared" si="269"/>
        <v>1.5699465377767343</v>
      </c>
      <c r="AP462" s="168" t="str">
        <f t="shared" si="270"/>
        <v>-0.00121895317264939+0.0210954371665011i</v>
      </c>
      <c r="AQ462" s="98">
        <f t="shared" si="271"/>
        <v>-33.501753113529027</v>
      </c>
      <c r="AR462" s="169">
        <f t="shared" si="272"/>
        <v>93.307032587173595</v>
      </c>
      <c r="AS462" s="168" t="str">
        <f t="shared" si="273"/>
        <v>-0.000266907580164806-0.000210345569884866i</v>
      </c>
      <c r="AT462" s="190">
        <f t="shared" si="274"/>
        <v>-69.374747405178184</v>
      </c>
      <c r="AU462" s="169">
        <f t="shared" si="275"/>
        <v>-141.75892413882866</v>
      </c>
      <c r="AV462" s="225"/>
      <c r="AX462">
        <f t="shared" si="276"/>
        <v>0</v>
      </c>
      <c r="AY462">
        <f t="shared" si="277"/>
        <v>0</v>
      </c>
    </row>
    <row r="463" spans="14:51" x14ac:dyDescent="0.3">
      <c r="N463" s="170">
        <v>45</v>
      </c>
      <c r="O463" s="199">
        <f t="shared" si="278"/>
        <v>281838.29312644573</v>
      </c>
      <c r="P463" s="189" t="str">
        <f t="shared" si="244"/>
        <v>108.75</v>
      </c>
      <c r="Q463" s="160" t="str">
        <f t="shared" si="245"/>
        <v>1+4494.39756038181i</v>
      </c>
      <c r="R463" s="160">
        <f t="shared" si="253"/>
        <v>4494.3976716314237</v>
      </c>
      <c r="S463" s="160">
        <f t="shared" si="254"/>
        <v>1.5705738275677892</v>
      </c>
      <c r="T463" s="160" t="str">
        <f t="shared" si="246"/>
        <v>1+0.16645916890303i</v>
      </c>
      <c r="U463" s="160">
        <f t="shared" si="255"/>
        <v>1.01375966328903</v>
      </c>
      <c r="V463" s="160">
        <f t="shared" si="256"/>
        <v>0.16494678090792778</v>
      </c>
      <c r="W463" s="98" t="str">
        <f t="shared" si="247"/>
        <v>1-1.32222885937159i</v>
      </c>
      <c r="X463" s="160">
        <f t="shared" si="257"/>
        <v>1.6577964762162745</v>
      </c>
      <c r="Y463" s="160">
        <f t="shared" si="258"/>
        <v>-0.92327620697757373</v>
      </c>
      <c r="Z463" s="98" t="str">
        <f t="shared" si="248"/>
        <v>-0.604500915994+2.55045348421537i</v>
      </c>
      <c r="AA463" s="160">
        <f t="shared" si="259"/>
        <v>2.6211131857636185</v>
      </c>
      <c r="AB463" s="160">
        <f t="shared" si="260"/>
        <v>1.8035188979852526</v>
      </c>
      <c r="AC463" s="171" t="str">
        <f t="shared" si="261"/>
        <v>-0.00850189528753975+0.0129775946263058i</v>
      </c>
      <c r="AD463" s="190">
        <f t="shared" si="262"/>
        <v>-36.185235745496961</v>
      </c>
      <c r="AE463" s="169">
        <f t="shared" si="263"/>
        <v>123.22965154564903</v>
      </c>
      <c r="AF463" s="98" t="str">
        <f t="shared" si="249"/>
        <v>-0.0000366300366300366</v>
      </c>
      <c r="AG463" s="98" t="str">
        <f t="shared" si="250"/>
        <v>0.122188113343713i</v>
      </c>
      <c r="AH463" s="98">
        <f t="shared" si="264"/>
        <v>0.122188113343713</v>
      </c>
      <c r="AI463" s="98">
        <f t="shared" si="265"/>
        <v>1.5707963267948966</v>
      </c>
      <c r="AJ463" s="98" t="str">
        <f t="shared" si="251"/>
        <v>1+17.4517784233828i</v>
      </c>
      <c r="AK463" s="98">
        <f t="shared" si="266"/>
        <v>17.480405319638603</v>
      </c>
      <c r="AL463" s="98">
        <f t="shared" si="267"/>
        <v>1.5135581664098896</v>
      </c>
      <c r="AM463" s="98" t="str">
        <f t="shared" si="252"/>
        <v>1+1204.17271121341i</v>
      </c>
      <c r="AN463" s="98">
        <f t="shared" si="268"/>
        <v>1204.1731264361676</v>
      </c>
      <c r="AO463" s="98">
        <f t="shared" si="269"/>
        <v>1.5699658813273918</v>
      </c>
      <c r="AP463" s="168" t="str">
        <f t="shared" si="270"/>
        <v>-0.00116427078542531+0.0206183797332628i</v>
      </c>
      <c r="AQ463" s="98">
        <f t="shared" si="271"/>
        <v>-33.701083475129366</v>
      </c>
      <c r="AR463" s="169">
        <f t="shared" si="272"/>
        <v>93.231923996750027</v>
      </c>
      <c r="AS463" s="168" t="str">
        <f t="shared" si="273"/>
        <v>-0.000257678465725496-0.000190404739779432i</v>
      </c>
      <c r="AT463" s="190">
        <f t="shared" si="274"/>
        <v>-69.886319220626348</v>
      </c>
      <c r="AU463" s="169">
        <f t="shared" si="275"/>
        <v>-143.53842445760102</v>
      </c>
      <c r="AV463" s="225"/>
      <c r="AX463">
        <f t="shared" si="276"/>
        <v>0</v>
      </c>
      <c r="AY463">
        <f t="shared" si="277"/>
        <v>0</v>
      </c>
    </row>
    <row r="464" spans="14:51" x14ac:dyDescent="0.3">
      <c r="N464" s="170">
        <v>46</v>
      </c>
      <c r="O464" s="199">
        <f t="shared" si="278"/>
        <v>288403.1503126609</v>
      </c>
      <c r="P464" s="189" t="str">
        <f t="shared" si="244"/>
        <v>108.75</v>
      </c>
      <c r="Q464" s="160" t="str">
        <f t="shared" si="245"/>
        <v>1+4599.08552806242i</v>
      </c>
      <c r="R464" s="160">
        <f t="shared" si="253"/>
        <v>4599.0856367796832</v>
      </c>
      <c r="S464" s="160">
        <f t="shared" si="254"/>
        <v>1.5705788922683719</v>
      </c>
      <c r="T464" s="160" t="str">
        <f t="shared" si="246"/>
        <v>1+0.170336501039349i</v>
      </c>
      <c r="U464" s="160">
        <f t="shared" si="255"/>
        <v>1.0144035309413746</v>
      </c>
      <c r="V464" s="160">
        <f t="shared" si="256"/>
        <v>0.16871718826763857</v>
      </c>
      <c r="W464" s="98" t="str">
        <f t="shared" si="247"/>
        <v>1-1.35302752598632i</v>
      </c>
      <c r="X464" s="160">
        <f t="shared" si="257"/>
        <v>1.6824635170120814</v>
      </c>
      <c r="Y464" s="160">
        <f t="shared" si="258"/>
        <v>-0.93431861709505315</v>
      </c>
      <c r="Z464" s="98" t="str">
        <f t="shared" si="248"/>
        <v>-0.68011871451114+2.60986117753562i</v>
      </c>
      <c r="AA464" s="160">
        <f t="shared" si="259"/>
        <v>2.6970236987901863</v>
      </c>
      <c r="AB464" s="160">
        <f t="shared" si="260"/>
        <v>1.8257223257902275</v>
      </c>
      <c r="AC464" s="171" t="str">
        <f t="shared" si="261"/>
        <v>-0.00782736544978365+0.0127528346443597i</v>
      </c>
      <c r="AD464" s="190">
        <f t="shared" si="262"/>
        <v>-36.499411710059576</v>
      </c>
      <c r="AE464" s="169">
        <f t="shared" si="263"/>
        <v>121.54054358910524</v>
      </c>
      <c r="AF464" s="98" t="str">
        <f t="shared" si="249"/>
        <v>-0.0000366300366300366</v>
      </c>
      <c r="AG464" s="98" t="str">
        <f t="shared" si="250"/>
        <v>0.125034240124628i</v>
      </c>
      <c r="AH464" s="98">
        <f t="shared" si="264"/>
        <v>0.12503424012462799</v>
      </c>
      <c r="AI464" s="98">
        <f t="shared" si="265"/>
        <v>1.5707963267948966</v>
      </c>
      <c r="AJ464" s="98" t="str">
        <f t="shared" si="251"/>
        <v>1+17.858282563484i</v>
      </c>
      <c r="AK464" s="98">
        <f t="shared" si="266"/>
        <v>17.886258863083601</v>
      </c>
      <c r="AL464" s="98">
        <f t="shared" si="267"/>
        <v>1.5148583182803492</v>
      </c>
      <c r="AM464" s="98" t="str">
        <f t="shared" si="252"/>
        <v>1+1232.2214968804i</v>
      </c>
      <c r="AN464" s="98">
        <f t="shared" si="268"/>
        <v>1232.221902651537</v>
      </c>
      <c r="AO464" s="98">
        <f t="shared" si="269"/>
        <v>1.5699847845656805</v>
      </c>
      <c r="AP464" s="168" t="str">
        <f t="shared" si="270"/>
        <v>-0.00111203376259757+0.0201519731977343i</v>
      </c>
      <c r="AQ464" s="98">
        <f t="shared" si="271"/>
        <v>-33.900443878981882</v>
      </c>
      <c r="AR464" s="169">
        <f t="shared" si="272"/>
        <v>93.15851385761971</v>
      </c>
      <c r="AS464" s="168" t="str">
        <f t="shared" si="273"/>
        <v>-0.000248290487295925-0.000171918441446264i</v>
      </c>
      <c r="AT464" s="190">
        <f t="shared" si="274"/>
        <v>-70.399855589041465</v>
      </c>
      <c r="AU464" s="169">
        <f t="shared" si="275"/>
        <v>-145.30094255327501</v>
      </c>
      <c r="AV464" s="225"/>
      <c r="AX464">
        <f t="shared" si="276"/>
        <v>0</v>
      </c>
      <c r="AY464">
        <f t="shared" si="277"/>
        <v>0</v>
      </c>
    </row>
    <row r="465" spans="14:51" x14ac:dyDescent="0.3">
      <c r="N465" s="170">
        <v>47</v>
      </c>
      <c r="O465" s="199">
        <f t="shared" si="278"/>
        <v>295120.92266663886</v>
      </c>
      <c r="P465" s="189" t="str">
        <f t="shared" si="244"/>
        <v>108.75</v>
      </c>
      <c r="Q465" s="160" t="str">
        <f t="shared" si="245"/>
        <v>1+4706.2119917661i</v>
      </c>
      <c r="R465" s="160">
        <f t="shared" si="253"/>
        <v>4706.2120980086565</v>
      </c>
      <c r="S465" s="160">
        <f t="shared" si="254"/>
        <v>1.570583841682305</v>
      </c>
      <c r="T465" s="160" t="str">
        <f t="shared" si="246"/>
        <v>1+0.17430414784319i</v>
      </c>
      <c r="U465" s="160">
        <f t="shared" si="255"/>
        <v>1.0150773054084801</v>
      </c>
      <c r="V465" s="160">
        <f t="shared" si="256"/>
        <v>0.17257041184512342</v>
      </c>
      <c r="W465" s="98" t="str">
        <f t="shared" si="247"/>
        <v>1-1.38454358570477i</v>
      </c>
      <c r="X465" s="160">
        <f t="shared" si="257"/>
        <v>1.7079112801068508</v>
      </c>
      <c r="Y465" s="160">
        <f t="shared" si="258"/>
        <v>-0.94528667310856707</v>
      </c>
      <c r="Z465" s="98" t="str">
        <f t="shared" si="248"/>
        <v>-0.75930027007919+2.6706526537978i</v>
      </c>
      <c r="AA465" s="160">
        <f t="shared" si="259"/>
        <v>2.7764946420585011</v>
      </c>
      <c r="AB465" s="160">
        <f t="shared" si="260"/>
        <v>1.8477996328030397</v>
      </c>
      <c r="AC465" s="171" t="str">
        <f t="shared" si="261"/>
        <v>-0.00718544117542601+0.0125121959064811i</v>
      </c>
      <c r="AD465" s="190">
        <f t="shared" si="262"/>
        <v>-36.81549289975861</v>
      </c>
      <c r="AE465" s="169">
        <f t="shared" si="263"/>
        <v>119.86767362319968</v>
      </c>
      <c r="AF465" s="98" t="str">
        <f t="shared" si="249"/>
        <v>-0.0000366300366300366</v>
      </c>
      <c r="AG465" s="98" t="str">
        <f t="shared" si="250"/>
        <v>0.127946661714681i</v>
      </c>
      <c r="AH465" s="98">
        <f t="shared" si="264"/>
        <v>0.127946661714681</v>
      </c>
      <c r="AI465" s="98">
        <f t="shared" si="265"/>
        <v>1.5707963267948966</v>
      </c>
      <c r="AJ465" s="98" t="str">
        <f t="shared" si="251"/>
        <v>1+18.2742554013828i</v>
      </c>
      <c r="AK465" s="98">
        <f t="shared" si="266"/>
        <v>18.301595845034072</v>
      </c>
      <c r="AL465" s="98">
        <f t="shared" si="267"/>
        <v>1.5161290580368068</v>
      </c>
      <c r="AM465" s="98" t="str">
        <f t="shared" si="252"/>
        <v>1+1260.92362269541i</v>
      </c>
      <c r="AN465" s="98">
        <f t="shared" si="268"/>
        <v>1260.9240192300711</v>
      </c>
      <c r="AO465" s="98">
        <f t="shared" si="269"/>
        <v>1.570003257514293</v>
      </c>
      <c r="AP465" s="168" t="str">
        <f t="shared" si="270"/>
        <v>-0.00106213342397781+0.0196959889204721i</v>
      </c>
      <c r="AQ465" s="98">
        <f t="shared" si="271"/>
        <v>-34.099832981422345</v>
      </c>
      <c r="AR465" s="169">
        <f t="shared" si="272"/>
        <v>93.086764254705884</v>
      </c>
      <c r="AS465" s="168" t="str">
        <f t="shared" si="273"/>
        <v>-0.000238808174706382-0.000154813991259527i</v>
      </c>
      <c r="AT465" s="190">
        <f t="shared" si="274"/>
        <v>-70.915325881180934</v>
      </c>
      <c r="AU465" s="169">
        <f t="shared" si="275"/>
        <v>-147.0455621220944</v>
      </c>
      <c r="AV465" s="225"/>
      <c r="AX465">
        <f t="shared" si="276"/>
        <v>0</v>
      </c>
      <c r="AY465">
        <f t="shared" si="277"/>
        <v>0</v>
      </c>
    </row>
    <row r="466" spans="14:51" x14ac:dyDescent="0.3">
      <c r="N466" s="170">
        <v>48</v>
      </c>
      <c r="O466" s="199">
        <f t="shared" si="278"/>
        <v>301995.17204020242</v>
      </c>
      <c r="P466" s="189" t="str">
        <f t="shared" si="244"/>
        <v>108.75</v>
      </c>
      <c r="Q466" s="160" t="str">
        <f t="shared" si="245"/>
        <v>1+4815.8337513619i</v>
      </c>
      <c r="R466" s="160">
        <f t="shared" si="253"/>
        <v>4815.8338551860807</v>
      </c>
      <c r="S466" s="160">
        <f t="shared" si="254"/>
        <v>1.5705886784338325</v>
      </c>
      <c r="T466" s="160" t="str">
        <f t="shared" si="246"/>
        <v>1+0.178364213013404i</v>
      </c>
      <c r="U466" s="160">
        <f t="shared" si="255"/>
        <v>1.0157823548791793</v>
      </c>
      <c r="V466" s="160">
        <f t="shared" si="256"/>
        <v>0.17650803676087554</v>
      </c>
      <c r="W466" s="98" t="str">
        <f t="shared" si="247"/>
        <v>1-1.41679374875896i</v>
      </c>
      <c r="X466" s="160">
        <f t="shared" si="257"/>
        <v>1.7341581607576821</v>
      </c>
      <c r="Y466" s="160">
        <f t="shared" si="258"/>
        <v>-0.95617563520919946</v>
      </c>
      <c r="Z466" s="98" t="str">
        <f t="shared" si="248"/>
        <v>-0.84221353739358+2.73286014544729i</v>
      </c>
      <c r="AA466" s="160">
        <f t="shared" si="259"/>
        <v>2.8596937278567425</v>
      </c>
      <c r="AB466" s="160">
        <f t="shared" si="260"/>
        <v>1.8697409439815718</v>
      </c>
      <c r="AC466" s="171" t="str">
        <f t="shared" si="261"/>
        <v>-0.00657574936956397+0.0122575712541875i</v>
      </c>
      <c r="AD466" s="190">
        <f t="shared" si="262"/>
        <v>-37.133447685228518</v>
      </c>
      <c r="AE466" s="169">
        <f t="shared" si="263"/>
        <v>118.21196968757178</v>
      </c>
      <c r="AF466" s="98" t="str">
        <f t="shared" si="249"/>
        <v>-0.0000366300366300366</v>
      </c>
      <c r="AG466" s="98" t="str">
        <f t="shared" si="250"/>
        <v>0.13092692231835i</v>
      </c>
      <c r="AH466" s="98">
        <f t="shared" si="264"/>
        <v>0.13092692231834999</v>
      </c>
      <c r="AI466" s="98">
        <f t="shared" si="265"/>
        <v>1.5707963267948966</v>
      </c>
      <c r="AJ466" s="98" t="str">
        <f t="shared" si="251"/>
        <v>1+18.6999174913837i</v>
      </c>
      <c r="AK466" s="98">
        <f t="shared" si="266"/>
        <v>18.726636488824095</v>
      </c>
      <c r="AL466" s="98">
        <f t="shared" si="267"/>
        <v>1.5173710430172862</v>
      </c>
      <c r="AM466" s="98" t="str">
        <f t="shared" si="252"/>
        <v>1+1290.29430690547i</v>
      </c>
      <c r="AN466" s="98">
        <f t="shared" si="268"/>
        <v>1290.294694413903</v>
      </c>
      <c r="AO466" s="98">
        <f t="shared" si="269"/>
        <v>1.5700213099677811</v>
      </c>
      <c r="AP466" s="168" t="str">
        <f t="shared" si="270"/>
        <v>-0.00101446586024157+0.0192502025554451i</v>
      </c>
      <c r="AQ466" s="98">
        <f t="shared" si="271"/>
        <v>-34.299249498520147</v>
      </c>
      <c r="AR466" s="169">
        <f t="shared" si="272"/>
        <v>93.016638086500492</v>
      </c>
      <c r="AS466" s="168" t="str">
        <f t="shared" si="273"/>
        <v>-0.000229289856239983-0.000139019394884799i</v>
      </c>
      <c r="AT466" s="190">
        <f t="shared" si="274"/>
        <v>-71.432697183748658</v>
      </c>
      <c r="AU466" s="169">
        <f t="shared" si="275"/>
        <v>-148.77139222592763</v>
      </c>
      <c r="AV466" s="225"/>
      <c r="AX466">
        <f t="shared" si="276"/>
        <v>0</v>
      </c>
      <c r="AY466">
        <f t="shared" si="277"/>
        <v>0</v>
      </c>
    </row>
    <row r="467" spans="14:51" x14ac:dyDescent="0.3">
      <c r="N467" s="170">
        <v>49</v>
      </c>
      <c r="O467" s="199">
        <f t="shared" si="278"/>
        <v>309029.54325135931</v>
      </c>
      <c r="P467" s="189" t="str">
        <f t="shared" ref="P467:P530" si="279">COMPLEX(Adc,0)</f>
        <v>108.75</v>
      </c>
      <c r="Q467" s="160" t="str">
        <f t="shared" ref="Q467:Q530" si="280">IMSUM(COMPLEX(1,0),IMDIV(COMPLEX(0,2*PI()*O467),COMPLEX(wp_lf,0)))</f>
        <v>1+4928.00892975777i</v>
      </c>
      <c r="R467" s="160">
        <f t="shared" si="253"/>
        <v>4928.0090312186239</v>
      </c>
      <c r="S467" s="160">
        <f t="shared" si="254"/>
        <v>1.570593405087463</v>
      </c>
      <c r="T467" s="160" t="str">
        <f t="shared" ref="T467:T530" si="281">IMSUM(COMPLEX(1,0),IMDIV(COMPLEX(0,2*PI()*O467),COMPLEX(wz_esr,0)))</f>
        <v>1+0.182518849250288i</v>
      </c>
      <c r="U467" s="160">
        <f t="shared" si="255"/>
        <v>1.0165201081787065</v>
      </c>
      <c r="V467" s="160">
        <f t="shared" si="256"/>
        <v>0.18053166213351815</v>
      </c>
      <c r="W467" s="98" t="str">
        <f t="shared" ref="W467:W530" si="282">IMSUB(COMPLEX(1,0),IMDIV(COMPLEX(0,2*PI()*O467),COMPLEX(wz_rhp,0)))</f>
        <v>1-1.44979511461222i</v>
      </c>
      <c r="X467" s="160">
        <f t="shared" si="257"/>
        <v>1.7612228349511769</v>
      </c>
      <c r="Y467" s="160">
        <f t="shared" si="258"/>
        <v>-0.96698094826984693</v>
      </c>
      <c r="Z467" s="98" t="str">
        <f t="shared" ref="Z467:Z530" si="283">IF(Dc_Mode_Loop="CCM",IMSUM(COMPLEX(1,0),IMDIV(COMPLEX(0,2*PI()*O467),COMPLEX(Q*(wsl/2),0)),IMDIV(IMPOWER(COMPLEX(0,2*PI()*O467),2),IMPOWER(COMPLEX(wsl/2,0),2))),COMPLEX(1,0))</f>
        <v>-0.92903438661065+2.79651663571957i</v>
      </c>
      <c r="AA467" s="160">
        <f t="shared" si="259"/>
        <v>2.946796597215581</v>
      </c>
      <c r="AB467" s="160">
        <f t="shared" si="260"/>
        <v>1.8915366984868698</v>
      </c>
      <c r="AC467" s="171" t="str">
        <f t="shared" si="261"/>
        <v>-0.00599782178580983+0.011990787458737i</v>
      </c>
      <c r="AD467" s="190">
        <f t="shared" si="262"/>
        <v>-37.453242149738941</v>
      </c>
      <c r="AE467" s="169">
        <f t="shared" si="263"/>
        <v>116.57433204331208</v>
      </c>
      <c r="AF467" s="98" t="str">
        <f t="shared" ref="AF467:AF530" si="284">COMPLEX(Adc_ea,0)</f>
        <v>-0.0000366300366300366</v>
      </c>
      <c r="AG467" s="98" t="str">
        <f t="shared" ref="AG467:AG530" si="285">COMPLEX(0,2*PI()*O467*wp0_ea)</f>
        <v>0.133976602109254i</v>
      </c>
      <c r="AH467" s="98">
        <f t="shared" si="264"/>
        <v>0.13397660210925399</v>
      </c>
      <c r="AI467" s="98">
        <f t="shared" si="265"/>
        <v>1.5707963267948966</v>
      </c>
      <c r="AJ467" s="98" t="str">
        <f t="shared" ref="AJ467:AJ530" si="286">IMSUM(COMPLEX(1,0),IMDIV(COMPLEX(0,2*PI()*O467),COMPLEX(wp1_ea,0)))</f>
        <v>1+19.1354945251613i</v>
      </c>
      <c r="AK467" s="98">
        <f t="shared" si="266"/>
        <v>19.16160616238832</v>
      </c>
      <c r="AL467" s="98">
        <f t="shared" si="267"/>
        <v>1.5185849164036174</v>
      </c>
      <c r="AM467" s="98" t="str">
        <f t="shared" ref="AM467:AM530" si="287">IMSUM(COMPLEX(1,0),IMDIV(COMPLEX(0,2*PI()*O467),COMPLEX(wz_ea,0)))</f>
        <v>1+1320.34912223612i</v>
      </c>
      <c r="AN467" s="98">
        <f t="shared" si="268"/>
        <v>1320.3495009237868</v>
      </c>
      <c r="AO467" s="98">
        <f t="shared" si="269"/>
        <v>1.5700389514977475</v>
      </c>
      <c r="AP467" s="168" t="str">
        <f t="shared" si="270"/>
        <v>-0.000968931728706311+0.0188143940119964i</v>
      </c>
      <c r="AQ467" s="98">
        <f t="shared" si="271"/>
        <v>-34.498692203454937</v>
      </c>
      <c r="AR467" s="169">
        <f t="shared" si="272"/>
        <v>92.948099049811688</v>
      </c>
      <c r="AS467" s="168" t="str">
        <f t="shared" si="273"/>
        <v>-0.000219787919931386-0.000124463636712906i</v>
      </c>
      <c r="AT467" s="190">
        <f t="shared" si="274"/>
        <v>-71.951934353193877</v>
      </c>
      <c r="AU467" s="169">
        <f t="shared" si="275"/>
        <v>-150.47756890687626</v>
      </c>
      <c r="AV467" s="225"/>
      <c r="AX467">
        <f t="shared" si="276"/>
        <v>0</v>
      </c>
      <c r="AY467">
        <f t="shared" si="277"/>
        <v>0</v>
      </c>
    </row>
    <row r="468" spans="14:51" x14ac:dyDescent="0.3">
      <c r="N468" s="170">
        <v>50</v>
      </c>
      <c r="O468" s="199">
        <f t="shared" si="278"/>
        <v>316227.7660168382</v>
      </c>
      <c r="P468" s="189" t="str">
        <f t="shared" si="279"/>
        <v>108.75</v>
      </c>
      <c r="Q468" s="160" t="str">
        <f t="shared" si="280"/>
        <v>1+5042.7970037181i</v>
      </c>
      <c r="R468" s="160">
        <f t="shared" ref="R468:R531" si="288">IMABS(Q468)</f>
        <v>5042.7971028694237</v>
      </c>
      <c r="S468" s="160">
        <f t="shared" ref="S468:S531" si="289">IMARGUMENT(Q468)</f>
        <v>1.57059802414933</v>
      </c>
      <c r="T468" s="160" t="str">
        <f t="shared" si="281"/>
        <v>1+0.186770259396967i</v>
      </c>
      <c r="U468" s="160">
        <f t="shared" ref="U468:U531" si="290">IMABS(T468)</f>
        <v>1.0172920572752007</v>
      </c>
      <c r="V468" s="160">
        <f t="shared" ref="V468:V531" si="291">IMARGUMENT(T468)</f>
        <v>0.18464289995948208</v>
      </c>
      <c r="W468" s="98" t="str">
        <f t="shared" si="282"/>
        <v>1-1.48356518102556i</v>
      </c>
      <c r="X468" s="160">
        <f t="shared" ref="X468:X531" si="292">IMABS(W468)</f>
        <v>1.7891242680013599</v>
      </c>
      <c r="Y468" s="160">
        <f t="shared" ref="Y468:Y531" si="293">IMARGUMENT(W468)</f>
        <v>-0.97769824892914403</v>
      </c>
      <c r="Z468" s="98" t="str">
        <f t="shared" si="283"/>
        <v>-1.01994697639186+2.86165587612838i</v>
      </c>
      <c r="AA468" s="160">
        <f t="shared" ref="AA468:AA531" si="294">IMABS(Z468)</f>
        <v>3.0379871935264942</v>
      </c>
      <c r="AB468" s="160">
        <f t="shared" ref="AB468:AB531" si="295">IMARGUMENT(Z468)</f>
        <v>1.9131776668479972</v>
      </c>
      <c r="AC468" s="171" t="str">
        <f t="shared" ref="AC468:AC531" si="296">(IMDIV(IMPRODUCT(P468,T468,W468),IMPRODUCT(Q468,Z468)))</f>
        <v>-0.00545110204354307+0.0117135994033826i</v>
      </c>
      <c r="AD468" s="190">
        <f t="shared" ref="AD468:AD531" si="297">20*LOG(IMABS(AC468))</f>
        <v>-37.774840151001229</v>
      </c>
      <c r="AE468" s="169">
        <f t="shared" ref="AE468:AE531" si="298">(180/PI())*IMARGUMENT(AC468)</f>
        <v>114.95563171934496</v>
      </c>
      <c r="AF468" s="98" t="str">
        <f t="shared" si="284"/>
        <v>-0.0000366300366300366</v>
      </c>
      <c r="AG468" s="98" t="str">
        <f t="shared" si="285"/>
        <v>0.137097318067986i</v>
      </c>
      <c r="AH468" s="98">
        <f t="shared" ref="AH468:AH531" si="299">IMABS(AG468)</f>
        <v>0.137097318067986</v>
      </c>
      <c r="AI468" s="98">
        <f t="shared" ref="AI468:AI531" si="300">IMARGUMENT(AG468)</f>
        <v>1.5707963267948966</v>
      </c>
      <c r="AJ468" s="98" t="str">
        <f t="shared" si="286"/>
        <v>1+19.5812174514242i</v>
      </c>
      <c r="AK468" s="98">
        <f t="shared" ref="AK468:AK531" si="301">IMABS(AJ468)</f>
        <v>19.606735497781358</v>
      </c>
      <c r="AL468" s="98">
        <f t="shared" ref="AL468:AL531" si="302">IMARGUMENT(AJ468)</f>
        <v>1.5197713074903929</v>
      </c>
      <c r="AM468" s="98" t="str">
        <f t="shared" si="287"/>
        <v>1+1351.10400414827i</v>
      </c>
      <c r="AN468" s="98">
        <f t="shared" ref="AN468:AN531" si="303">IMABS(AM468)</f>
        <v>1351.1043742159554</v>
      </c>
      <c r="AO468" s="98">
        <f t="shared" ref="AO468:AO531" si="304">IMARGUMENT(AM468)</f>
        <v>1.5700561914579205</v>
      </c>
      <c r="AP468" s="168" t="str">
        <f t="shared" ref="AP468:AP531" si="305">IMPRODUCT(AF468,IMDIV(AM468,IMPRODUCT(AG468,AJ468)))</f>
        <v>-0.000925436057390318+0.0183883474138077i</v>
      </c>
      <c r="AQ468" s="98">
        <f t="shared" ref="AQ468:AQ531" si="306">20*LOG(IMABS(AP468))</f>
        <v>-34.69815992400526</v>
      </c>
      <c r="AR468" s="169">
        <f t="shared" ref="AR468:AR531" si="307">(180/PI())*IMARGUMENT(AP468)</f>
        <v>92.88111162464439</v>
      </c>
      <c r="AS468" s="168" t="str">
        <f t="shared" ref="AS468:AS531" si="308">IMPRODUCT(AC468,AP468)</f>
        <v>-0.000210349088911961-0.000111076945414503i</v>
      </c>
      <c r="AT468" s="190">
        <f t="shared" ref="AT468:AT531" si="309">20*LOG(IMABS(AS468))</f>
        <v>-72.473000075006496</v>
      </c>
      <c r="AU468" s="169">
        <f t="shared" ref="AU468:AU531" si="310">(180/PI())*IMARGUMENT(AS468)</f>
        <v>-152.16325665601065</v>
      </c>
      <c r="AV468" s="225"/>
      <c r="AX468">
        <f t="shared" ref="AX468:AX531" si="311">SUM((AT469&lt;0)*(AT468&gt;0))*O468</f>
        <v>0</v>
      </c>
      <c r="AY468">
        <f t="shared" ref="AY468:AY531" si="312">IF(AX468&gt;0,AU468,0)</f>
        <v>0</v>
      </c>
    </row>
    <row r="469" spans="14:51" x14ac:dyDescent="0.3">
      <c r="N469" s="170">
        <v>51</v>
      </c>
      <c r="O469" s="199">
        <f t="shared" si="278"/>
        <v>323593.65692962846</v>
      </c>
      <c r="P469" s="189" t="str">
        <f t="shared" si="279"/>
        <v>108.75</v>
      </c>
      <c r="Q469" s="160" t="str">
        <f t="shared" si="280"/>
        <v>1+5160.25883539911i</v>
      </c>
      <c r="R469" s="160">
        <f t="shared" si="288"/>
        <v>5160.2589322934728</v>
      </c>
      <c r="S469" s="160">
        <f t="shared" si="289"/>
        <v>1.5706025380685207</v>
      </c>
      <c r="T469" s="160" t="str">
        <f t="shared" si="281"/>
        <v>1+0.191120697607375i</v>
      </c>
      <c r="U469" s="160">
        <f t="shared" si="290"/>
        <v>1.0180997598732306</v>
      </c>
      <c r="V469" s="160">
        <f t="shared" si="291"/>
        <v>0.18884337388490158</v>
      </c>
      <c r="W469" s="98" t="str">
        <f t="shared" si="282"/>
        <v>1-1.51812185333518i</v>
      </c>
      <c r="X469" s="160">
        <f t="shared" si="292"/>
        <v>1.8178817237581333</v>
      </c>
      <c r="Y469" s="160">
        <f t="shared" si="293"/>
        <v>-0.98832337168236295</v>
      </c>
      <c r="Z469" s="98" t="str">
        <f t="shared" si="283"/>
        <v>-1.11514414452901+2.92831240436121i</v>
      </c>
      <c r="AA469" s="160">
        <f t="shared" si="294"/>
        <v>3.133458153640011</v>
      </c>
      <c r="AB469" s="160">
        <f t="shared" si="295"/>
        <v>1.9346549664135984</v>
      </c>
      <c r="AC469" s="171" t="str">
        <f t="shared" si="296"/>
        <v>-0.00493495299712358+0.0114276850813922i</v>
      </c>
      <c r="AD469" s="190">
        <f t="shared" si="297"/>
        <v>-38.098203387833813</v>
      </c>
      <c r="AE469" s="169">
        <f t="shared" si="298"/>
        <v>113.35670920769246</v>
      </c>
      <c r="AF469" s="98" t="str">
        <f t="shared" si="284"/>
        <v>-0.0000366300366300366</v>
      </c>
      <c r="AG469" s="98" t="str">
        <f t="shared" si="285"/>
        <v>0.140290724839456i</v>
      </c>
      <c r="AH469" s="98">
        <f t="shared" si="299"/>
        <v>0.14029072483945601</v>
      </c>
      <c r="AI469" s="98">
        <f t="shared" si="300"/>
        <v>1.5707963267948966</v>
      </c>
      <c r="AJ469" s="98" t="str">
        <f t="shared" si="286"/>
        <v>1+20.037322598368i</v>
      </c>
      <c r="AK469" s="98">
        <f t="shared" si="301"/>
        <v>20.06226051348823</v>
      </c>
      <c r="AL469" s="98">
        <f t="shared" si="302"/>
        <v>1.5209308319513011</v>
      </c>
      <c r="AM469" s="98" t="str">
        <f t="shared" si="287"/>
        <v>1+1382.57525928739i</v>
      </c>
      <c r="AN469" s="98">
        <f t="shared" si="303"/>
        <v>1382.5756209313085</v>
      </c>
      <c r="AO469" s="98">
        <f t="shared" si="304"/>
        <v>1.5700730389891149</v>
      </c>
      <c r="AP469" s="168" t="str">
        <f t="shared" si="305"/>
        <v>-0.000883888057058124+0.0179718510551785i</v>
      </c>
      <c r="AQ469" s="98">
        <f t="shared" si="306"/>
        <v>-34.897651540145368</v>
      </c>
      <c r="AR469" s="169">
        <f t="shared" si="307"/>
        <v>92.815641059224802</v>
      </c>
      <c r="AS469" s="168" t="str">
        <f t="shared" si="308"/>
        <v>-0.000201014708171965-0.0000987910345918756i</v>
      </c>
      <c r="AT469" s="190">
        <f t="shared" si="309"/>
        <v>-72.995854927979181</v>
      </c>
      <c r="AU469" s="169">
        <f t="shared" si="310"/>
        <v>-153.82764973308267</v>
      </c>
      <c r="AV469" s="225"/>
      <c r="AX469">
        <f t="shared" si="311"/>
        <v>0</v>
      </c>
      <c r="AY469">
        <f t="shared" si="312"/>
        <v>0</v>
      </c>
    </row>
    <row r="470" spans="14:51" x14ac:dyDescent="0.3">
      <c r="N470" s="170">
        <v>52</v>
      </c>
      <c r="O470" s="199">
        <f t="shared" si="278"/>
        <v>331131.12148259126</v>
      </c>
      <c r="P470" s="189" t="str">
        <f t="shared" si="279"/>
        <v>108.75</v>
      </c>
      <c r="Q470" s="160" t="str">
        <f t="shared" si="280"/>
        <v>1+5280.45670461877i</v>
      </c>
      <c r="R470" s="160">
        <f t="shared" si="288"/>
        <v>5280.4567993075489</v>
      </c>
      <c r="S470" s="160">
        <f t="shared" si="289"/>
        <v>1.5706069492383739</v>
      </c>
      <c r="T470" s="160" t="str">
        <f t="shared" si="281"/>
        <v>1+0.195572470541437i</v>
      </c>
      <c r="U470" s="160">
        <f t="shared" si="290"/>
        <v>1.0189448420958227</v>
      </c>
      <c r="V470" s="160">
        <f t="shared" si="291"/>
        <v>0.193134717863714</v>
      </c>
      <c r="W470" s="98" t="str">
        <f t="shared" si="282"/>
        <v>1-1.55348345394616i</v>
      </c>
      <c r="X470" s="160">
        <f t="shared" si="292"/>
        <v>1.847514774415753</v>
      </c>
      <c r="Y470" s="160">
        <f t="shared" si="293"/>
        <v>-0.99885235397974481</v>
      </c>
      <c r="Z470" s="98" t="str">
        <f t="shared" si="283"/>
        <v>-1.21482781697904+2.99652156259164i</v>
      </c>
      <c r="AA470" s="160">
        <f t="shared" si="294"/>
        <v>3.2334112172723568</v>
      </c>
      <c r="AB470" s="160">
        <f t="shared" si="295"/>
        <v>1.955960075052869</v>
      </c>
      <c r="AC470" s="171" t="str">
        <f t="shared" si="296"/>
        <v>-0.00444866435898209+0.0111346414204717i</v>
      </c>
      <c r="AD470" s="190">
        <f t="shared" si="297"/>
        <v>-38.423291471139244</v>
      </c>
      <c r="AE470" s="169">
        <f t="shared" si="298"/>
        <v>111.77837330939607</v>
      </c>
      <c r="AF470" s="98" t="str">
        <f t="shared" si="284"/>
        <v>-0.0000366300366300366</v>
      </c>
      <c r="AG470" s="98" t="str">
        <f t="shared" si="285"/>
        <v>0.143558515610203i</v>
      </c>
      <c r="AH470" s="98">
        <f t="shared" si="299"/>
        <v>0.143558515610203</v>
      </c>
      <c r="AI470" s="98">
        <f t="shared" si="300"/>
        <v>1.5707963267948966</v>
      </c>
      <c r="AJ470" s="98" t="str">
        <f t="shared" si="286"/>
        <v>1+20.5040517989788i</v>
      </c>
      <c r="AK470" s="98">
        <f t="shared" si="301"/>
        <v>20.52842273958732</v>
      </c>
      <c r="AL470" s="98">
        <f t="shared" si="302"/>
        <v>1.5220640921026607</v>
      </c>
      <c r="AM470" s="98" t="str">
        <f t="shared" si="287"/>
        <v>1+1414.77957412954i</v>
      </c>
      <c r="AN470" s="98">
        <f t="shared" si="303"/>
        <v>1414.77992754144</v>
      </c>
      <c r="AO470" s="98">
        <f t="shared" si="304"/>
        <v>1.5700895030240756</v>
      </c>
      <c r="AP470" s="168" t="str">
        <f t="shared" si="305"/>
        <v>-0.000844200940964893+0.0175646973549132i</v>
      </c>
      <c r="AQ470" s="98">
        <f t="shared" si="306"/>
        <v>-35.097165981744659</v>
      </c>
      <c r="AR470" s="169">
        <f t="shared" si="307"/>
        <v>92.751653355178561</v>
      </c>
      <c r="AS470" s="168" t="str">
        <f t="shared" si="308"/>
        <v>-0.000191821040068177-0.0000875393178635782i</v>
      </c>
      <c r="AT470" s="190">
        <f t="shared" si="309"/>
        <v>-73.520457452883889</v>
      </c>
      <c r="AU470" s="169">
        <f t="shared" si="310"/>
        <v>-155.46997333542541</v>
      </c>
      <c r="AV470" s="225"/>
      <c r="AX470">
        <f t="shared" si="311"/>
        <v>0</v>
      </c>
      <c r="AY470">
        <f t="shared" si="312"/>
        <v>0</v>
      </c>
    </row>
    <row r="471" spans="14:51" x14ac:dyDescent="0.3">
      <c r="N471" s="170">
        <v>53</v>
      </c>
      <c r="O471" s="199">
        <f t="shared" si="278"/>
        <v>338844.15613920329</v>
      </c>
      <c r="P471" s="189" t="str">
        <f t="shared" si="279"/>
        <v>108.75</v>
      </c>
      <c r="Q471" s="160" t="str">
        <f t="shared" si="280"/>
        <v>1+5403.45434187832i</v>
      </c>
      <c r="R471" s="160">
        <f t="shared" si="288"/>
        <v>5403.4544344117185</v>
      </c>
      <c r="S471" s="160">
        <f t="shared" si="289"/>
        <v>1.5706112599977493</v>
      </c>
      <c r="T471" s="160" t="str">
        <f t="shared" si="281"/>
        <v>1+0.200127938588086i</v>
      </c>
      <c r="U471" s="160">
        <f t="shared" si="290"/>
        <v>1.0198290012563462</v>
      </c>
      <c r="V471" s="160">
        <f t="shared" si="291"/>
        <v>0.19751857469581491</v>
      </c>
      <c r="W471" s="98" t="str">
        <f t="shared" si="282"/>
        <v>1-1.58966873204721i</v>
      </c>
      <c r="X471" s="160">
        <f t="shared" si="292"/>
        <v>1.8780433109086128</v>
      </c>
      <c r="Y471" s="160">
        <f t="shared" si="293"/>
        <v>-1.0092814403409016</v>
      </c>
      <c r="Z471" s="98" t="str">
        <f t="shared" si="283"/>
        <v>-1.31920943617601+3.06631951621821i</v>
      </c>
      <c r="AA471" s="160">
        <f t="shared" si="294"/>
        <v>3.3380576555890258</v>
      </c>
      <c r="AB471" s="160">
        <f t="shared" si="295"/>
        <v>1.9770848430837114</v>
      </c>
      <c r="AC471" s="171" t="str">
        <f t="shared" si="296"/>
        <v>-0.00399146048086646+0.0108359809321969i</v>
      </c>
      <c r="AD471" s="190">
        <f t="shared" si="297"/>
        <v>-38.750061998625426</v>
      </c>
      <c r="AE471" s="169">
        <f t="shared" si="298"/>
        <v>110.2214001315145</v>
      </c>
      <c r="AF471" s="98" t="str">
        <f t="shared" si="284"/>
        <v>-0.0000366300366300366</v>
      </c>
      <c r="AG471" s="98" t="str">
        <f t="shared" si="285"/>
        <v>0.146902423006148i</v>
      </c>
      <c r="AH471" s="98">
        <f t="shared" si="299"/>
        <v>0.146902423006148</v>
      </c>
      <c r="AI471" s="98">
        <f t="shared" si="300"/>
        <v>1.5707963267948966</v>
      </c>
      <c r="AJ471" s="98" t="str">
        <f t="shared" si="286"/>
        <v>1+20.9816525192566i</v>
      </c>
      <c r="AK471" s="98">
        <f t="shared" si="301"/>
        <v>21.005469345835305</v>
      </c>
      <c r="AL471" s="98">
        <f t="shared" si="302"/>
        <v>1.5231716771640165</v>
      </c>
      <c r="AM471" s="98" t="str">
        <f t="shared" si="287"/>
        <v>1+1447.7340238287i</v>
      </c>
      <c r="AN471" s="98">
        <f t="shared" si="303"/>
        <v>1447.734369195965</v>
      </c>
      <c r="AO471" s="98">
        <f t="shared" si="304"/>
        <v>1.5701055922922169</v>
      </c>
      <c r="AP471" s="168" t="str">
        <f t="shared" si="305"/>
        <v>-0.000806291752018563+0.017166682808082i</v>
      </c>
      <c r="AQ471" s="98">
        <f t="shared" si="306"/>
        <v>-35.296702226367728</v>
      </c>
      <c r="AR471" s="169">
        <f t="shared" si="307"/>
        <v>92.689115252871076</v>
      </c>
      <c r="AS471" s="168" t="str">
        <f t="shared" si="308"/>
        <v>-0.000182799565913218-0.0000772570980666897i</v>
      </c>
      <c r="AT471" s="190">
        <f t="shared" si="309"/>
        <v>-74.046764224993169</v>
      </c>
      <c r="AU471" s="169">
        <f t="shared" si="310"/>
        <v>-157.0894846156144</v>
      </c>
      <c r="AV471" s="225"/>
      <c r="AX471">
        <f t="shared" si="311"/>
        <v>0</v>
      </c>
      <c r="AY471">
        <f t="shared" si="312"/>
        <v>0</v>
      </c>
    </row>
    <row r="472" spans="14:51" x14ac:dyDescent="0.3">
      <c r="N472" s="170">
        <v>54</v>
      </c>
      <c r="O472" s="199">
        <f t="shared" si="278"/>
        <v>346736.85045253241</v>
      </c>
      <c r="P472" s="189" t="str">
        <f t="shared" si="279"/>
        <v>108.75</v>
      </c>
      <c r="Q472" s="160" t="str">
        <f t="shared" si="280"/>
        <v>1+5529.3169621531i</v>
      </c>
      <c r="R472" s="160">
        <f t="shared" si="288"/>
        <v>5529.3170525801816</v>
      </c>
      <c r="S472" s="160">
        <f t="shared" si="289"/>
        <v>1.5706154726322683</v>
      </c>
      <c r="T472" s="160" t="str">
        <f t="shared" si="281"/>
        <v>1+0.204789517116782i</v>
      </c>
      <c r="U472" s="160">
        <f t="shared" si="290"/>
        <v>1.0207540087214573</v>
      </c>
      <c r="V472" s="160">
        <f t="shared" si="291"/>
        <v>0.20199659443900775</v>
      </c>
      <c r="W472" s="98" t="str">
        <f t="shared" si="282"/>
        <v>1-1.62669687355175i</v>
      </c>
      <c r="X472" s="160">
        <f t="shared" si="292"/>
        <v>1.9094875538801077</v>
      </c>
      <c r="Y472" s="160">
        <f t="shared" si="293"/>
        <v>-1.0196070855017374</v>
      </c>
      <c r="Z472" s="98" t="str">
        <f t="shared" si="283"/>
        <v>-1.42851040952893+3.1377432730398i</v>
      </c>
      <c r="AA472" s="160">
        <f t="shared" si="294"/>
        <v>3.4476187198759423</v>
      </c>
      <c r="AB472" s="160">
        <f t="shared" si="295"/>
        <v>1.998021503420593</v>
      </c>
      <c r="AC472" s="171" t="str">
        <f t="shared" si="296"/>
        <v>-0.00356250820136773+0.0105331291738305i</v>
      </c>
      <c r="AD472" s="190">
        <f t="shared" si="297"/>
        <v>-39.07847063269422</v>
      </c>
      <c r="AE472" s="169">
        <f t="shared" si="298"/>
        <v>108.68653223432932</v>
      </c>
      <c r="AF472" s="98" t="str">
        <f t="shared" si="284"/>
        <v>-0.0000366300366300366</v>
      </c>
      <c r="AG472" s="98" t="str">
        <f t="shared" si="285"/>
        <v>0.150324220011254i</v>
      </c>
      <c r="AH472" s="98">
        <f t="shared" si="299"/>
        <v>0.15032422001125401</v>
      </c>
      <c r="AI472" s="98">
        <f t="shared" si="300"/>
        <v>1.5707963267948966</v>
      </c>
      <c r="AJ472" s="98" t="str">
        <f t="shared" si="286"/>
        <v>1+21.4703779894252i</v>
      </c>
      <c r="AK472" s="98">
        <f t="shared" si="301"/>
        <v>21.49365327274063</v>
      </c>
      <c r="AL472" s="98">
        <f t="shared" si="302"/>
        <v>1.5242541635156581</v>
      </c>
      <c r="AM472" s="98" t="str">
        <f t="shared" si="287"/>
        <v>1+1481.45608127033i</v>
      </c>
      <c r="AN472" s="98">
        <f t="shared" si="303"/>
        <v>1481.4564187760782</v>
      </c>
      <c r="AO472" s="98">
        <f t="shared" si="304"/>
        <v>1.5701213153242479</v>
      </c>
      <c r="AP472" s="168" t="str">
        <f t="shared" si="305"/>
        <v>-0.000770081197086201+0.0167776079359117i</v>
      </c>
      <c r="AQ472" s="98">
        <f t="shared" si="306"/>
        <v>-35.49625929716845</v>
      </c>
      <c r="AR472" s="169">
        <f t="shared" si="307"/>
        <v>92.627994216918026</v>
      </c>
      <c r="AS472" s="168" t="str">
        <f t="shared" si="308"/>
        <v>-0.000173977291036503-0.0000678817305942647i</v>
      </c>
      <c r="AT472" s="190">
        <f t="shared" si="309"/>
        <v>-74.57472992986267</v>
      </c>
      <c r="AU472" s="169">
        <f t="shared" si="310"/>
        <v>-158.68547354875264</v>
      </c>
      <c r="AV472" s="225"/>
      <c r="AX472">
        <f t="shared" si="311"/>
        <v>0</v>
      </c>
      <c r="AY472">
        <f t="shared" si="312"/>
        <v>0</v>
      </c>
    </row>
    <row r="473" spans="14:51" x14ac:dyDescent="0.3">
      <c r="N473" s="170">
        <v>55</v>
      </c>
      <c r="O473" s="199">
        <f t="shared" si="278"/>
        <v>354813.38923357555</v>
      </c>
      <c r="P473" s="189" t="str">
        <f t="shared" si="279"/>
        <v>108.75</v>
      </c>
      <c r="Q473" s="160" t="str">
        <f t="shared" si="280"/>
        <v>1+5658.11129947034i</v>
      </c>
      <c r="R473" s="160">
        <f t="shared" si="288"/>
        <v>5658.1113878390497</v>
      </c>
      <c r="S473" s="160">
        <f t="shared" si="289"/>
        <v>1.5706195893755246</v>
      </c>
      <c r="T473" s="160" t="str">
        <f t="shared" si="281"/>
        <v>1+0.209559677758162i</v>
      </c>
      <c r="U473" s="160">
        <f t="shared" si="290"/>
        <v>1.0217217128661331</v>
      </c>
      <c r="V473" s="160">
        <f t="shared" si="291"/>
        <v>0.20657043268832417</v>
      </c>
      <c r="W473" s="98" t="str">
        <f t="shared" si="282"/>
        <v>1-1.6645875112705i</v>
      </c>
      <c r="X473" s="160">
        <f t="shared" si="292"/>
        <v>1.941868065208787</v>
      </c>
      <c r="Y473" s="160">
        <f t="shared" si="293"/>
        <v>-1.0298259566174071</v>
      </c>
      <c r="Z473" s="98" t="str">
        <f t="shared" si="283"/>
        <v>-1.5429625790565+3.21083070287769i</v>
      </c>
      <c r="AA473" s="160">
        <f t="shared" si="294"/>
        <v>3.5623261112524109</v>
      </c>
      <c r="AB473" s="160">
        <f t="shared" si="295"/>
        <v>2.0187626799486535</v>
      </c>
      <c r="AC473" s="171" t="str">
        <f t="shared" si="296"/>
        <v>-0.0031609246729915+0.01022742299966i</v>
      </c>
      <c r="AD473" s="190">
        <f t="shared" si="297"/>
        <v>-39.408471180917644</v>
      </c>
      <c r="AE473" s="169">
        <f t="shared" si="298"/>
        <v>107.174477926667</v>
      </c>
      <c r="AF473" s="98" t="str">
        <f t="shared" si="284"/>
        <v>-0.0000366300366300366</v>
      </c>
      <c r="AG473" s="98" t="str">
        <f t="shared" si="285"/>
        <v>0.153825720907587i</v>
      </c>
      <c r="AH473" s="98">
        <f t="shared" si="299"/>
        <v>0.153825720907587</v>
      </c>
      <c r="AI473" s="98">
        <f t="shared" si="300"/>
        <v>1.5707963267948966</v>
      </c>
      <c r="AJ473" s="98" t="str">
        <f t="shared" si="286"/>
        <v>1+21.9704873381976i</v>
      </c>
      <c r="AK473" s="98">
        <f t="shared" si="301"/>
        <v>21.993233365694575</v>
      </c>
      <c r="AL473" s="98">
        <f t="shared" si="302"/>
        <v>1.5253121149529485</v>
      </c>
      <c r="AM473" s="98" t="str">
        <f t="shared" si="287"/>
        <v>1+1515.96362633563i</v>
      </c>
      <c r="AN473" s="98">
        <f t="shared" si="303"/>
        <v>1515.9639561588108</v>
      </c>
      <c r="AO473" s="98">
        <f t="shared" si="304"/>
        <v>1.5701366804566974</v>
      </c>
      <c r="AP473" s="168" t="str">
        <f t="shared" si="305"/>
        <v>-0.000735493488177736+0.0163972772340363i</v>
      </c>
      <c r="AQ473" s="98">
        <f t="shared" si="306"/>
        <v>-35.695836260875417</v>
      </c>
      <c r="AR473" s="169">
        <f t="shared" si="307"/>
        <v>92.568258421872514</v>
      </c>
      <c r="AS473" s="168" t="str">
        <f t="shared" si="308"/>
        <v>-0.000165377050801579-0.0000593527611960363i</v>
      </c>
      <c r="AT473" s="190">
        <f t="shared" si="309"/>
        <v>-75.10430744179304</v>
      </c>
      <c r="AU473" s="169">
        <f t="shared" si="310"/>
        <v>-160.25726365146053</v>
      </c>
      <c r="AV473" s="225"/>
      <c r="AX473">
        <f t="shared" si="311"/>
        <v>0</v>
      </c>
      <c r="AY473">
        <f t="shared" si="312"/>
        <v>0</v>
      </c>
    </row>
    <row r="474" spans="14:51" x14ac:dyDescent="0.3">
      <c r="N474" s="170">
        <v>56</v>
      </c>
      <c r="O474" s="199">
        <f t="shared" si="278"/>
        <v>363078.05477010203</v>
      </c>
      <c r="P474" s="189" t="str">
        <f t="shared" si="279"/>
        <v>108.75</v>
      </c>
      <c r="Q474" s="160" t="str">
        <f t="shared" si="280"/>
        <v>1+5789.90564229257i</v>
      </c>
      <c r="R474" s="160">
        <f t="shared" si="288"/>
        <v>5789.9057286497609</v>
      </c>
      <c r="S474" s="160">
        <f t="shared" si="289"/>
        <v>1.5706236124102697</v>
      </c>
      <c r="T474" s="160" t="str">
        <f t="shared" si="281"/>
        <v>1+0.21444094971454i</v>
      </c>
      <c r="U474" s="160">
        <f t="shared" si="290"/>
        <v>1.0227340421216427</v>
      </c>
      <c r="V474" s="160">
        <f t="shared" si="291"/>
        <v>0.21124174871627846</v>
      </c>
      <c r="W474" s="98" t="str">
        <f t="shared" si="282"/>
        <v>1-1.70336073532117i</v>
      </c>
      <c r="X474" s="160">
        <f t="shared" si="292"/>
        <v>1.9752057600751056</v>
      </c>
      <c r="Y474" s="160">
        <f t="shared" si="293"/>
        <v>-1.039934934551362</v>
      </c>
      <c r="Z474" s="98" t="str">
        <f t="shared" si="283"/>
        <v>-1.66280871315522+3.28562055765464i</v>
      </c>
      <c r="AA474" s="160">
        <f t="shared" si="294"/>
        <v>3.6824224724259582</v>
      </c>
      <c r="AB474" s="160">
        <f t="shared" si="295"/>
        <v>2.0393013941442035</v>
      </c>
      <c r="AC474" s="171" t="str">
        <f t="shared" si="296"/>
        <v>-0.00278578508827413+0.00992010956987761i</v>
      </c>
      <c r="AD474" s="190">
        <f t="shared" si="297"/>
        <v>-39.740015678523321</v>
      </c>
      <c r="AE474" s="169">
        <f t="shared" si="298"/>
        <v>105.68591070609189</v>
      </c>
      <c r="AF474" s="98" t="str">
        <f t="shared" si="284"/>
        <v>-0.0000366300366300366</v>
      </c>
      <c r="AG474" s="98" t="str">
        <f t="shared" si="285"/>
        <v>0.157408782237269i</v>
      </c>
      <c r="AH474" s="98">
        <f t="shared" si="299"/>
        <v>0.15740878223726901</v>
      </c>
      <c r="AI474" s="98">
        <f t="shared" si="300"/>
        <v>1.5707963267948966</v>
      </c>
      <c r="AJ474" s="98" t="str">
        <f t="shared" si="286"/>
        <v>1+22.4822457301707i</v>
      </c>
      <c r="AK474" s="98">
        <f t="shared" si="301"/>
        <v>22.504474512233752</v>
      </c>
      <c r="AL474" s="98">
        <f t="shared" si="302"/>
        <v>1.5263460829373625</v>
      </c>
      <c r="AM474" s="98" t="str">
        <f t="shared" si="287"/>
        <v>1+1551.27495538178i</v>
      </c>
      <c r="AN474" s="98">
        <f t="shared" si="303"/>
        <v>1551.2752776972707</v>
      </c>
      <c r="AO474" s="98">
        <f t="shared" si="304"/>
        <v>1.5701516958363329</v>
      </c>
      <c r="AP474" s="168" t="str">
        <f t="shared" si="305"/>
        <v>-0.000702456190247666+0.0160254991193225i</v>
      </c>
      <c r="AQ474" s="98">
        <f t="shared" si="306"/>
        <v>-35.895432225865292</v>
      </c>
      <c r="AR474" s="169">
        <f t="shared" si="307"/>
        <v>92.509876738094846</v>
      </c>
      <c r="AS474" s="168" t="str">
        <f t="shared" si="308"/>
        <v>-0.000157017815195699-0.0000516120388540545i</v>
      </c>
      <c r="AT474" s="190">
        <f t="shared" si="309"/>
        <v>-75.63544790438857</v>
      </c>
      <c r="AU474" s="169">
        <f t="shared" si="310"/>
        <v>-161.80421255581331</v>
      </c>
      <c r="AV474" s="225"/>
      <c r="AX474">
        <f t="shared" si="311"/>
        <v>0</v>
      </c>
      <c r="AY474">
        <f t="shared" si="312"/>
        <v>0</v>
      </c>
    </row>
    <row r="475" spans="14:51" x14ac:dyDescent="0.3">
      <c r="N475" s="170">
        <v>57</v>
      </c>
      <c r="O475" s="199">
        <f t="shared" si="278"/>
        <v>371535.2290971732</v>
      </c>
      <c r="P475" s="189" t="str">
        <f t="shared" si="279"/>
        <v>108.75</v>
      </c>
      <c r="Q475" s="160" t="str">
        <f t="shared" si="280"/>
        <v>1+5924.76986972479i</v>
      </c>
      <c r="R475" s="160">
        <f t="shared" si="288"/>
        <v>5924.7699541162528</v>
      </c>
      <c r="S475" s="160">
        <f t="shared" si="289"/>
        <v>1.5706275438695692</v>
      </c>
      <c r="T475" s="160" t="str">
        <f t="shared" si="281"/>
        <v>1+0.219435921100919i</v>
      </c>
      <c r="U475" s="160">
        <f t="shared" si="290"/>
        <v>1.0237930081170747</v>
      </c>
      <c r="V475" s="160">
        <f t="shared" si="291"/>
        <v>0.21601220346749253</v>
      </c>
      <c r="W475" s="98" t="str">
        <f t="shared" si="282"/>
        <v>1-1.74303710378035i</v>
      </c>
      <c r="X475" s="160">
        <f t="shared" si="292"/>
        <v>2.0095219195507648</v>
      </c>
      <c r="Y475" s="160">
        <f t="shared" si="293"/>
        <v>-1.0499311142861245</v>
      </c>
      <c r="Z475" s="98" t="str">
        <f t="shared" si="283"/>
        <v>-1.78830302154351+3.36215249194158i</v>
      </c>
      <c r="AA475" s="160">
        <f t="shared" si="294"/>
        <v>3.8081619025365274</v>
      </c>
      <c r="AB475" s="160">
        <f t="shared" si="295"/>
        <v>2.0596310699741345</v>
      </c>
      <c r="AC475" s="171" t="str">
        <f t="shared" si="296"/>
        <v>-0.00243613023156092+0.00961234607712453i</v>
      </c>
      <c r="AD475" s="190">
        <f t="shared" si="297"/>
        <v>-40.073054472321765</v>
      </c>
      <c r="AE475" s="169">
        <f t="shared" si="298"/>
        <v>104.22146883968935</v>
      </c>
      <c r="AF475" s="98" t="str">
        <f t="shared" si="284"/>
        <v>-0.0000366300366300366</v>
      </c>
      <c r="AG475" s="98" t="str">
        <f t="shared" si="285"/>
        <v>0.161075303786844i</v>
      </c>
      <c r="AH475" s="98">
        <f t="shared" si="299"/>
        <v>0.16107530378684401</v>
      </c>
      <c r="AI475" s="98">
        <f t="shared" si="300"/>
        <v>1.5707963267948966</v>
      </c>
      <c r="AJ475" s="98" t="str">
        <f t="shared" si="286"/>
        <v>1+23.0059245064176i</v>
      </c>
      <c r="AK475" s="98">
        <f t="shared" si="301"/>
        <v>23.027647782502363</v>
      </c>
      <c r="AL475" s="98">
        <f t="shared" si="302"/>
        <v>1.5273566068441413</v>
      </c>
      <c r="AM475" s="98" t="str">
        <f t="shared" si="287"/>
        <v>1+1587.40879094281i</v>
      </c>
      <c r="AN475" s="98">
        <f t="shared" si="303"/>
        <v>1587.4091059215054</v>
      </c>
      <c r="AO475" s="98">
        <f t="shared" si="304"/>
        <v>1.5701663694244805</v>
      </c>
      <c r="AP475" s="168" t="str">
        <f t="shared" si="305"/>
        <v>-0.000670900075362952+0.0156620858754716i</v>
      </c>
      <c r="AQ475" s="98">
        <f t="shared" si="306"/>
        <v>-36.095046340319357</v>
      </c>
      <c r="AR475" s="169">
        <f t="shared" si="307"/>
        <v>92.452818717810501</v>
      </c>
      <c r="AS475" s="168" t="str">
        <f t="shared" si="308"/>
        <v>-0.000148914989768729-0.0000446038045980973i</v>
      </c>
      <c r="AT475" s="190">
        <f t="shared" si="309"/>
        <v>-76.1681008126411</v>
      </c>
      <c r="AU475" s="169">
        <f t="shared" si="310"/>
        <v>-163.32571244250016</v>
      </c>
      <c r="AV475" s="225"/>
      <c r="AX475">
        <f t="shared" si="311"/>
        <v>0</v>
      </c>
      <c r="AY475">
        <f t="shared" si="312"/>
        <v>0</v>
      </c>
    </row>
    <row r="476" spans="14:51" x14ac:dyDescent="0.3">
      <c r="N476" s="170">
        <v>58</v>
      </c>
      <c r="O476" s="199">
        <f t="shared" si="278"/>
        <v>380189.39632056188</v>
      </c>
      <c r="P476" s="189" t="str">
        <f t="shared" si="279"/>
        <v>108.75</v>
      </c>
      <c r="Q476" s="160" t="str">
        <f t="shared" si="280"/>
        <v>1+6062.77548856553i</v>
      </c>
      <c r="R476" s="160">
        <f t="shared" si="288"/>
        <v>6062.7755710360088</v>
      </c>
      <c r="S476" s="160">
        <f t="shared" si="289"/>
        <v>1.5706313858379344</v>
      </c>
      <c r="T476" s="160" t="str">
        <f t="shared" si="281"/>
        <v>1+0.224547240317243i</v>
      </c>
      <c r="U476" s="160">
        <f t="shared" si="290"/>
        <v>1.0249007089148146</v>
      </c>
      <c r="V476" s="160">
        <f t="shared" si="291"/>
        <v>0.22088345740115412</v>
      </c>
      <c r="W476" s="98" t="str">
        <f t="shared" si="282"/>
        <v>1-1.78363765358377i</v>
      </c>
      <c r="X476" s="160">
        <f t="shared" si="292"/>
        <v>2.0448382036928536</v>
      </c>
      <c r="Y476" s="160">
        <f t="shared" si="293"/>
        <v>-1.0598118044966889</v>
      </c>
      <c r="Z476" s="98" t="str">
        <f t="shared" si="283"/>
        <v>-1.91971169447479+3.44046708398309i</v>
      </c>
      <c r="AA476" s="160">
        <f t="shared" si="294"/>
        <v>3.9398104961881573</v>
      </c>
      <c r="AB476" s="160">
        <f t="shared" si="295"/>
        <v>2.0797455371186424</v>
      </c>
      <c r="AC476" s="171" t="str">
        <f t="shared" si="296"/>
        <v>-0.00211097379083657+0.00930520014420633i</v>
      </c>
      <c r="AD476" s="190">
        <f t="shared" si="297"/>
        <v>-40.407536305526918</v>
      </c>
      <c r="AE476" s="169">
        <f t="shared" si="298"/>
        <v>102.78175508017573</v>
      </c>
      <c r="AF476" s="98" t="str">
        <f t="shared" si="284"/>
        <v>-0.0000366300366300366</v>
      </c>
      <c r="AG476" s="98" t="str">
        <f t="shared" si="285"/>
        <v>0.164827229594571i</v>
      </c>
      <c r="AH476" s="98">
        <f t="shared" si="299"/>
        <v>0.164827229594571</v>
      </c>
      <c r="AI476" s="98">
        <f t="shared" si="300"/>
        <v>1.5707963267948966</v>
      </c>
      <c r="AJ476" s="98" t="str">
        <f t="shared" si="286"/>
        <v>1+23.5418013283572i</v>
      </c>
      <c r="AK476" s="98">
        <f t="shared" si="301"/>
        <v>23.563030572993803</v>
      </c>
      <c r="AL476" s="98">
        <f t="shared" si="302"/>
        <v>1.5283442142064945</v>
      </c>
      <c r="AM476" s="98" t="str">
        <f t="shared" si="287"/>
        <v>1+1624.38429165664i</v>
      </c>
      <c r="AN476" s="98">
        <f t="shared" si="303"/>
        <v>1624.3845994655464</v>
      </c>
      <c r="AO476" s="98">
        <f t="shared" si="304"/>
        <v>1.5701807090012452</v>
      </c>
      <c r="AP476" s="168" t="str">
        <f t="shared" si="305"/>
        <v>-0.000640758982992249+0.0153068535975809i</v>
      </c>
      <c r="AQ476" s="98">
        <f t="shared" si="306"/>
        <v>-36.29467779046054</v>
      </c>
      <c r="AR476" s="169">
        <f t="shared" si="307"/>
        <v>92.397054581360251</v>
      </c>
      <c r="AS476" s="168" t="str">
        <f t="shared" si="308"/>
        <v>-0.000141080710884215-0.0000382747573456067i</v>
      </c>
      <c r="AT476" s="190">
        <f t="shared" si="309"/>
        <v>-76.702214095987472</v>
      </c>
      <c r="AU476" s="169">
        <f t="shared" si="310"/>
        <v>-164.82119033846399</v>
      </c>
      <c r="AV476" s="225"/>
      <c r="AX476">
        <f t="shared" si="311"/>
        <v>0</v>
      </c>
      <c r="AY476">
        <f t="shared" si="312"/>
        <v>0</v>
      </c>
    </row>
    <row r="477" spans="14:51" x14ac:dyDescent="0.3">
      <c r="N477" s="170">
        <v>59</v>
      </c>
      <c r="O477" s="199">
        <f t="shared" si="278"/>
        <v>389045.14499428123</v>
      </c>
      <c r="P477" s="189" t="str">
        <f t="shared" si="279"/>
        <v>108.75</v>
      </c>
      <c r="Q477" s="160" t="str">
        <f t="shared" si="280"/>
        <v>1+6203.99567122063i</v>
      </c>
      <c r="R477" s="160">
        <f t="shared" si="288"/>
        <v>6203.9957518138526</v>
      </c>
      <c r="S477" s="160">
        <f t="shared" si="289"/>
        <v>1.5706351403524272</v>
      </c>
      <c r="T477" s="160" t="str">
        <f t="shared" si="281"/>
        <v>1+0.229777617452617i</v>
      </c>
      <c r="U477" s="160">
        <f t="shared" si="290"/>
        <v>1.0260593323400948</v>
      </c>
      <c r="V477" s="160">
        <f t="shared" si="291"/>
        <v>0.22585716817477075</v>
      </c>
      <c r="W477" s="98" t="str">
        <f t="shared" si="282"/>
        <v>1-1.82518391168036i</v>
      </c>
      <c r="X477" s="160">
        <f t="shared" si="292"/>
        <v>2.08117666512404</v>
      </c>
      <c r="Y477" s="160">
        <f t="shared" si="293"/>
        <v>-1.0695745263314644</v>
      </c>
      <c r="Z477" s="98" t="str">
        <f t="shared" si="283"/>
        <v>-2.05731346736262+3.5206058572125i</v>
      </c>
      <c r="AA477" s="160">
        <f t="shared" si="294"/>
        <v>4.0776469078171251</v>
      </c>
      <c r="AB477" s="160">
        <f t="shared" si="295"/>
        <v>2.0996390325719401</v>
      </c>
      <c r="AC477" s="171" t="str">
        <f t="shared" si="296"/>
        <v>-0.00180930937223504+0.00899965084117956i</v>
      </c>
      <c r="AD477" s="190">
        <f t="shared" si="297"/>
        <v>-40.743408402939743</v>
      </c>
      <c r="AE477" s="169">
        <f t="shared" si="298"/>
        <v>101.36733651125856</v>
      </c>
      <c r="AF477" s="98" t="str">
        <f t="shared" si="284"/>
        <v>-0.0000366300366300366</v>
      </c>
      <c r="AG477" s="98" t="str">
        <f t="shared" si="285"/>
        <v>0.168666548981176i</v>
      </c>
      <c r="AH477" s="98">
        <f t="shared" si="299"/>
        <v>0.168666548981176</v>
      </c>
      <c r="AI477" s="98">
        <f t="shared" si="300"/>
        <v>1.5707963267948966</v>
      </c>
      <c r="AJ477" s="98" t="str">
        <f t="shared" si="286"/>
        <v>1+24.0901603249737i</v>
      </c>
      <c r="AK477" s="98">
        <f t="shared" si="301"/>
        <v>24.110906753644432</v>
      </c>
      <c r="AL477" s="98">
        <f t="shared" si="302"/>
        <v>1.5293094209562812</v>
      </c>
      <c r="AM477" s="98" t="str">
        <f t="shared" si="287"/>
        <v>1+1662.22106242318i</v>
      </c>
      <c r="AN477" s="98">
        <f t="shared" si="303"/>
        <v>1662.2213632255018</v>
      </c>
      <c r="AO477" s="98">
        <f t="shared" si="304"/>
        <v>1.5701947221696373</v>
      </c>
      <c r="AP477" s="168" t="str">
        <f t="shared" si="305"/>
        <v>-0.000611969686179461+0.0149596221358359i</v>
      </c>
      <c r="AQ477" s="98">
        <f t="shared" si="306"/>
        <v>-36.494325798867081</v>
      </c>
      <c r="AR477" s="169">
        <f t="shared" si="307"/>
        <v>92.342555203646413</v>
      </c>
      <c r="AS477" s="168" t="str">
        <f t="shared" si="308"/>
        <v>-0.000133524133449776-0.000032574098036464i</v>
      </c>
      <c r="AT477" s="190">
        <f t="shared" si="309"/>
        <v>-77.237734201806802</v>
      </c>
      <c r="AU477" s="169">
        <f t="shared" si="310"/>
        <v>-166.29010828509507</v>
      </c>
      <c r="AV477" s="225"/>
      <c r="AX477">
        <f t="shared" si="311"/>
        <v>0</v>
      </c>
      <c r="AY477">
        <f t="shared" si="312"/>
        <v>0</v>
      </c>
    </row>
    <row r="478" spans="14:51" x14ac:dyDescent="0.3">
      <c r="N478" s="170">
        <v>60</v>
      </c>
      <c r="O478" s="199">
        <f t="shared" si="278"/>
        <v>398107.17055349716</v>
      </c>
      <c r="P478" s="189" t="str">
        <f t="shared" si="279"/>
        <v>108.75</v>
      </c>
      <c r="Q478" s="160" t="str">
        <f t="shared" si="280"/>
        <v>1+6348.50529450019i</v>
      </c>
      <c r="R478" s="160">
        <f t="shared" si="288"/>
        <v>6348.5053732588849</v>
      </c>
      <c r="S478" s="160">
        <f t="shared" si="289"/>
        <v>1.5706388094037407</v>
      </c>
      <c r="T478" s="160" t="str">
        <f t="shared" si="281"/>
        <v>1+0.23512982572223i</v>
      </c>
      <c r="U478" s="160">
        <f t="shared" si="290"/>
        <v>1.0272711594044517</v>
      </c>
      <c r="V478" s="160">
        <f t="shared" si="291"/>
        <v>0.2309349881627335</v>
      </c>
      <c r="W478" s="98" t="str">
        <f t="shared" si="282"/>
        <v>1-1.86769790644609i</v>
      </c>
      <c r="X478" s="160">
        <f t="shared" si="292"/>
        <v>2.1185597630803592</v>
      </c>
      <c r="Y478" s="160">
        <f t="shared" si="293"/>
        <v>-1.0792170114492896</v>
      </c>
      <c r="Z478" s="98" t="str">
        <f t="shared" si="283"/>
        <v>-2.20140021201586+3.60261130226812i</v>
      </c>
      <c r="AA478" s="160">
        <f t="shared" si="294"/>
        <v>4.2219629426006904</v>
      </c>
      <c r="AB478" s="160">
        <f t="shared" si="295"/>
        <v>2.1193062006852936</v>
      </c>
      <c r="AC478" s="171" t="str">
        <f t="shared" si="296"/>
        <v>-0.00153011716832495+0.00869659026599287i</v>
      </c>
      <c r="AD478" s="190">
        <f t="shared" si="297"/>
        <v>-41.080616555997487</v>
      </c>
      <c r="AE478" s="169">
        <f t="shared" si="298"/>
        <v>99.978744515402326</v>
      </c>
      <c r="AF478" s="98" t="str">
        <f t="shared" si="284"/>
        <v>-0.0000366300366300366</v>
      </c>
      <c r="AG478" s="98" t="str">
        <f t="shared" si="285"/>
        <v>0.172595297604615i</v>
      </c>
      <c r="AH478" s="98">
        <f t="shared" si="299"/>
        <v>0.17259529760461501</v>
      </c>
      <c r="AI478" s="98">
        <f t="shared" si="300"/>
        <v>1.5707963267948966</v>
      </c>
      <c r="AJ478" s="98" t="str">
        <f t="shared" si="286"/>
        <v>1+24.6512922434654i</v>
      </c>
      <c r="AK478" s="98">
        <f t="shared" si="301"/>
        <v>24.671566818358684</v>
      </c>
      <c r="AL478" s="98">
        <f t="shared" si="302"/>
        <v>1.5302527316611179</v>
      </c>
      <c r="AM478" s="98" t="str">
        <f t="shared" si="287"/>
        <v>1+1700.9391647991i</v>
      </c>
      <c r="AN478" s="98">
        <f t="shared" si="303"/>
        <v>1700.9394587543259</v>
      </c>
      <c r="AO478" s="98">
        <f t="shared" si="304"/>
        <v>1.5702084163596017</v>
      </c>
      <c r="AP478" s="168" t="str">
        <f t="shared" si="305"/>
        <v>-0.000584471763371747+0.0146202150384897i</v>
      </c>
      <c r="AQ478" s="98">
        <f t="shared" si="306"/>
        <v>-36.693989622860251</v>
      </c>
      <c r="AR478" s="169">
        <f t="shared" si="307"/>
        <v>92.289292100778582</v>
      </c>
      <c r="AS478" s="168" t="str">
        <f t="shared" si="308"/>
        <v>-0.000126251709510916-0.0000274535534830821i</v>
      </c>
      <c r="AT478" s="190">
        <f t="shared" si="309"/>
        <v>-77.774606178857738</v>
      </c>
      <c r="AU478" s="169">
        <f t="shared" si="310"/>
        <v>-167.73196338381914</v>
      </c>
      <c r="AV478" s="225"/>
      <c r="AX478">
        <f t="shared" si="311"/>
        <v>0</v>
      </c>
      <c r="AY478">
        <f t="shared" si="312"/>
        <v>0</v>
      </c>
    </row>
    <row r="479" spans="14:51" x14ac:dyDescent="0.3">
      <c r="N479" s="170">
        <v>61</v>
      </c>
      <c r="O479" s="199">
        <f t="shared" si="278"/>
        <v>407380.27780411334</v>
      </c>
      <c r="P479" s="189" t="str">
        <f t="shared" si="279"/>
        <v>108.75</v>
      </c>
      <c r="Q479" s="160" t="str">
        <f t="shared" si="280"/>
        <v>1+6496.38097931932i</v>
      </c>
      <c r="R479" s="160">
        <f t="shared" si="288"/>
        <v>6496.3810562852495</v>
      </c>
      <c r="S479" s="160">
        <f t="shared" si="289"/>
        <v>1.5706423949372539</v>
      </c>
      <c r="T479" s="160" t="str">
        <f t="shared" si="281"/>
        <v>1+0.240606702937753i</v>
      </c>
      <c r="U479" s="160">
        <f t="shared" si="290"/>
        <v>1.0285385678226053</v>
      </c>
      <c r="V479" s="160">
        <f t="shared" si="291"/>
        <v>0.23611856180333327</v>
      </c>
      <c r="W479" s="98" t="str">
        <f t="shared" si="282"/>
        <v>1-1.91120217936372i</v>
      </c>
      <c r="X479" s="160">
        <f t="shared" si="292"/>
        <v>2.157010377908422</v>
      </c>
      <c r="Y479" s="160">
        <f t="shared" si="293"/>
        <v>-1.0887371993637933</v>
      </c>
      <c r="Z479" s="98" t="str">
        <f t="shared" si="283"/>
        <v>-2.35227755573802+3.68652689952241i</v>
      </c>
      <c r="AA479" s="160">
        <f t="shared" si="294"/>
        <v>4.3730641751672419</v>
      </c>
      <c r="AB479" s="160">
        <f t="shared" si="295"/>
        <v>2.1387420917248745</v>
      </c>
      <c r="AC479" s="171" t="str">
        <f t="shared" si="296"/>
        <v>-0.00127237023980234+0.00839682563011092i</v>
      </c>
      <c r="AD479" s="190">
        <f t="shared" si="297"/>
        <v>-41.419105207222145</v>
      </c>
      <c r="AE479" s="169">
        <f t="shared" si="298"/>
        <v>98.616474856549971</v>
      </c>
      <c r="AF479" s="98" t="str">
        <f t="shared" si="284"/>
        <v>-0.0000366300366300366</v>
      </c>
      <c r="AG479" s="98" t="str">
        <f t="shared" si="285"/>
        <v>0.176615558539414i</v>
      </c>
      <c r="AH479" s="98">
        <f t="shared" si="299"/>
        <v>0.17661555853941399</v>
      </c>
      <c r="AI479" s="98">
        <f t="shared" si="300"/>
        <v>1.5707963267948966</v>
      </c>
      <c r="AJ479" s="98" t="str">
        <f t="shared" si="286"/>
        <v>1+25.225494603403i</v>
      </c>
      <c r="AK479" s="98">
        <f t="shared" si="301"/>
        <v>25.24530803904587</v>
      </c>
      <c r="AL479" s="98">
        <f t="shared" si="302"/>
        <v>1.5311746397578712</v>
      </c>
      <c r="AM479" s="98" t="str">
        <f t="shared" si="287"/>
        <v>1+1740.5591276348i</v>
      </c>
      <c r="AN479" s="98">
        <f t="shared" si="303"/>
        <v>1740.5594148987896</v>
      </c>
      <c r="AO479" s="98">
        <f t="shared" si="304"/>
        <v>1.5702217988319589</v>
      </c>
      <c r="AP479" s="168" t="str">
        <f t="shared" si="305"/>
        <v>-0.000558207475679472+0.0142884594942764i</v>
      </c>
      <c r="AQ479" s="98">
        <f t="shared" si="306"/>
        <v>-36.893668552961913</v>
      </c>
      <c r="AR479" s="169">
        <f t="shared" si="307"/>
        <v>92.237237416921175</v>
      </c>
      <c r="AS479" s="168" t="str">
        <f t="shared" si="308"/>
        <v>-0.000119267456316652-0.0000228673814718434i</v>
      </c>
      <c r="AT479" s="190">
        <f t="shared" si="309"/>
        <v>-78.312773760184072</v>
      </c>
      <c r="AU479" s="169">
        <f t="shared" si="310"/>
        <v>-169.14628772652884</v>
      </c>
      <c r="AV479" s="225"/>
      <c r="AX479">
        <f t="shared" si="311"/>
        <v>0</v>
      </c>
      <c r="AY479">
        <f t="shared" si="312"/>
        <v>0</v>
      </c>
    </row>
    <row r="480" spans="14:51" x14ac:dyDescent="0.3">
      <c r="N480" s="170">
        <v>62</v>
      </c>
      <c r="O480" s="199">
        <f t="shared" si="278"/>
        <v>416869.38347033598</v>
      </c>
      <c r="P480" s="189" t="str">
        <f t="shared" si="279"/>
        <v>108.75</v>
      </c>
      <c r="Q480" s="160" t="str">
        <f t="shared" si="280"/>
        <v>1+6647.70113132345i</v>
      </c>
      <c r="R480" s="160">
        <f t="shared" si="288"/>
        <v>6647.7012065374211</v>
      </c>
      <c r="S480" s="160">
        <f t="shared" si="289"/>
        <v>1.5706458988540637</v>
      </c>
      <c r="T480" s="160" t="str">
        <f t="shared" si="281"/>
        <v>1+0.246211153011981i</v>
      </c>
      <c r="U480" s="160">
        <f t="shared" si="290"/>
        <v>1.0298640356219306</v>
      </c>
      <c r="V480" s="160">
        <f t="shared" si="291"/>
        <v>0.2414095227680198</v>
      </c>
      <c r="W480" s="98" t="str">
        <f t="shared" si="282"/>
        <v>1-1.9557197969746i</v>
      </c>
      <c r="X480" s="160">
        <f t="shared" si="292"/>
        <v>2.196551825994181</v>
      </c>
      <c r="Y480" s="160">
        <f t="shared" si="293"/>
        <v>-1.0981332341483756</v>
      </c>
      <c r="Z480" s="98" t="str">
        <f t="shared" si="283"/>
        <v>-2.51026552960358+3.77239714213579i</v>
      </c>
      <c r="AA480" s="160">
        <f t="shared" si="294"/>
        <v>4.531270597427417</v>
      </c>
      <c r="AB480" s="160">
        <f t="shared" si="295"/>
        <v>2.1579421590239325</v>
      </c>
      <c r="AC480" s="171" t="str">
        <f t="shared" si="296"/>
        <v>-0.00103504037863578+0.00810108178898543i</v>
      </c>
      <c r="AD480" s="190">
        <f t="shared" si="297"/>
        <v>-41.758817533639331</v>
      </c>
      <c r="AE480" s="169">
        <f t="shared" si="298"/>
        <v>97.280987869832032</v>
      </c>
      <c r="AF480" s="98" t="str">
        <f t="shared" si="284"/>
        <v>-0.0000366300366300366</v>
      </c>
      <c r="AG480" s="98" t="str">
        <f t="shared" si="285"/>
        <v>0.180729463381134i</v>
      </c>
      <c r="AH480" s="98">
        <f t="shared" si="299"/>
        <v>0.18072946338113399</v>
      </c>
      <c r="AI480" s="98">
        <f t="shared" si="300"/>
        <v>1.5707963267948966</v>
      </c>
      <c r="AJ480" s="98" t="str">
        <f t="shared" si="286"/>
        <v>1+25.8130718544784i</v>
      </c>
      <c r="AK480" s="98">
        <f t="shared" si="301"/>
        <v>25.832434623249608</v>
      </c>
      <c r="AL480" s="98">
        <f t="shared" si="302"/>
        <v>1.5320756277824978</v>
      </c>
      <c r="AM480" s="98" t="str">
        <f t="shared" si="287"/>
        <v>1+1781.101957959i</v>
      </c>
      <c r="AN480" s="98">
        <f t="shared" si="303"/>
        <v>1781.1022386840636</v>
      </c>
      <c r="AO480" s="98">
        <f t="shared" si="304"/>
        <v>1.5702348766822538</v>
      </c>
      <c r="AP480" s="168" t="str">
        <f t="shared" si="305"/>
        <v>-0.000533121649352919+0.0139641862743895i</v>
      </c>
      <c r="AQ480" s="98">
        <f t="shared" si="306"/>
        <v>-37.093361911420651</v>
      </c>
      <c r="AR480" s="169">
        <f t="shared" si="307"/>
        <v>92.186363911345254</v>
      </c>
      <c r="AS480" s="168" t="str">
        <f t="shared" si="308"/>
        <v>-0.000112573212691652-0.0000187723587336715i</v>
      </c>
      <c r="AT480" s="190">
        <f t="shared" si="309"/>
        <v>-78.852179445059974</v>
      </c>
      <c r="AU480" s="169">
        <f t="shared" si="310"/>
        <v>-170.53264821882271</v>
      </c>
      <c r="AV480" s="225"/>
      <c r="AX480">
        <f t="shared" si="311"/>
        <v>0</v>
      </c>
      <c r="AY480">
        <f t="shared" si="312"/>
        <v>0</v>
      </c>
    </row>
    <row r="481" spans="14:51" x14ac:dyDescent="0.3">
      <c r="N481" s="170">
        <v>63</v>
      </c>
      <c r="O481" s="199">
        <f t="shared" si="278"/>
        <v>426579.51880159322</v>
      </c>
      <c r="P481" s="189" t="str">
        <f t="shared" si="279"/>
        <v>108.75</v>
      </c>
      <c r="Q481" s="160" t="str">
        <f t="shared" si="280"/>
        <v>1+6802.54598246013i</v>
      </c>
      <c r="R481" s="160">
        <f t="shared" si="288"/>
        <v>6802.5460559620215</v>
      </c>
      <c r="S481" s="160">
        <f t="shared" si="289"/>
        <v>1.5706493230119931</v>
      </c>
      <c r="T481" s="160" t="str">
        <f t="shared" si="281"/>
        <v>1+0.251946147498524i</v>
      </c>
      <c r="U481" s="160">
        <f t="shared" si="290"/>
        <v>1.03125014484331</v>
      </c>
      <c r="V481" s="160">
        <f t="shared" si="291"/>
        <v>0.24680949094693716</v>
      </c>
      <c r="W481" s="98" t="str">
        <f t="shared" si="282"/>
        <v>1-2.00127436310885i</v>
      </c>
      <c r="X481" s="160">
        <f t="shared" si="292"/>
        <v>2.2372078751060958</v>
      </c>
      <c r="Y481" s="160">
        <f t="shared" si="293"/>
        <v>-1.1074034605564358</v>
      </c>
      <c r="Z481" s="98" t="str">
        <f t="shared" si="283"/>
        <v>-2.67569924728692+3.86026755964749i</v>
      </c>
      <c r="AA481" s="160">
        <f t="shared" si="294"/>
        <v>4.6969172969085351</v>
      </c>
      <c r="AB481" s="160">
        <f t="shared" si="295"/>
        <v>2.1769022548147863</v>
      </c>
      <c r="AC481" s="171" t="str">
        <f t="shared" si="296"/>
        <v>-0.00081710352885363+0.0078100041567756i</v>
      </c>
      <c r="AD481" s="190">
        <f t="shared" si="297"/>
        <v>-42.099695528783172</v>
      </c>
      <c r="AE481" s="169">
        <f t="shared" si="298"/>
        <v>95.972708749898942</v>
      </c>
      <c r="AF481" s="98" t="str">
        <f t="shared" si="284"/>
        <v>-0.0000366300366300366</v>
      </c>
      <c r="AG481" s="98" t="str">
        <f t="shared" si="285"/>
        <v>0.184939193376576i</v>
      </c>
      <c r="AH481" s="98">
        <f t="shared" si="299"/>
        <v>0.18493919337657599</v>
      </c>
      <c r="AI481" s="98">
        <f t="shared" si="300"/>
        <v>1.5707963267948966</v>
      </c>
      <c r="AJ481" s="98" t="str">
        <f t="shared" si="286"/>
        <v>1+26.4143355379273i</v>
      </c>
      <c r="AK481" s="98">
        <f t="shared" si="301"/>
        <v>26.433257875453208</v>
      </c>
      <c r="AL481" s="98">
        <f t="shared" si="302"/>
        <v>1.5329561675962076</v>
      </c>
      <c r="AM481" s="98" t="str">
        <f t="shared" si="287"/>
        <v>1+1822.58915211698i</v>
      </c>
      <c r="AN481" s="98">
        <f t="shared" si="303"/>
        <v>1822.589426451962</v>
      </c>
      <c r="AO481" s="98">
        <f t="shared" si="304"/>
        <v>1.5702476568445174</v>
      </c>
      <c r="AP481" s="168" t="str">
        <f t="shared" si="305"/>
        <v>-0.000509161563267688+0.0136472296741526i</v>
      </c>
      <c r="AQ481" s="98">
        <f t="shared" si="306"/>
        <v>-37.293069050800923</v>
      </c>
      <c r="AR481" s="169">
        <f t="shared" si="307"/>
        <v>92.136644945685632</v>
      </c>
      <c r="AS481" s="168" t="str">
        <f t="shared" si="308"/>
        <v>-0.0001061688827735-0.0000151277534514171i</v>
      </c>
      <c r="AT481" s="190">
        <f t="shared" si="309"/>
        <v>-79.392764579584124</v>
      </c>
      <c r="AU481" s="169">
        <f t="shared" si="310"/>
        <v>-171.89064630441538</v>
      </c>
      <c r="AV481" s="225"/>
      <c r="AX481">
        <f t="shared" si="311"/>
        <v>0</v>
      </c>
      <c r="AY481">
        <f t="shared" si="312"/>
        <v>0</v>
      </c>
    </row>
    <row r="482" spans="14:51" x14ac:dyDescent="0.3">
      <c r="N482" s="170">
        <v>64</v>
      </c>
      <c r="O482" s="199">
        <f t="shared" si="278"/>
        <v>436515.83224016649</v>
      </c>
      <c r="P482" s="189" t="str">
        <f t="shared" si="279"/>
        <v>108.75</v>
      </c>
      <c r="Q482" s="160" t="str">
        <f t="shared" si="280"/>
        <v>1+6960.99763351904i</v>
      </c>
      <c r="R482" s="160">
        <f t="shared" si="288"/>
        <v>6960.9977053478242</v>
      </c>
      <c r="S482" s="160">
        <f t="shared" si="289"/>
        <v>1.5706526692265754</v>
      </c>
      <c r="T482" s="160" t="str">
        <f t="shared" si="281"/>
        <v>1+0.257814727167373i</v>
      </c>
      <c r="U482" s="160">
        <f t="shared" si="290"/>
        <v>1.0326995853317591</v>
      </c>
      <c r="V482" s="160">
        <f t="shared" si="291"/>
        <v>0.25232006924507155</v>
      </c>
      <c r="W482" s="98" t="str">
        <f t="shared" si="282"/>
        <v>1-2.04789003140041i</v>
      </c>
      <c r="X482" s="160">
        <f t="shared" si="292"/>
        <v>2.2790027601363656</v>
      </c>
      <c r="Y482" s="160">
        <f t="shared" si="293"/>
        <v>-1.1165464196121622</v>
      </c>
      <c r="Z482" s="98" t="str">
        <f t="shared" si="283"/>
        <v>-2.84892961588332+3.950184742116i</v>
      </c>
      <c r="AA482" s="160">
        <f t="shared" si="294"/>
        <v>4.870355167038964</v>
      </c>
      <c r="AB482" s="160">
        <f t="shared" si="295"/>
        <v>2.1956186248305785</v>
      </c>
      <c r="AC482" s="171" t="str">
        <f t="shared" si="296"/>
        <v>-0.000617544748909006+0.00752416194526861i</v>
      </c>
      <c r="AD482" s="190">
        <f t="shared" si="297"/>
        <v>-42.441680082944472</v>
      </c>
      <c r="AE482" s="169">
        <f t="shared" si="298"/>
        <v>94.69202792922141</v>
      </c>
      <c r="AF482" s="98" t="str">
        <f t="shared" si="284"/>
        <v>-0.0000366300366300366</v>
      </c>
      <c r="AG482" s="98" t="str">
        <f t="shared" si="285"/>
        <v>0.189246980580305i</v>
      </c>
      <c r="AH482" s="98">
        <f t="shared" si="299"/>
        <v>0.18924698058030501</v>
      </c>
      <c r="AI482" s="98">
        <f t="shared" si="300"/>
        <v>1.5707963267948966</v>
      </c>
      <c r="AJ482" s="98" t="str">
        <f t="shared" si="286"/>
        <v>1+27.0296044517134i</v>
      </c>
      <c r="AK482" s="98">
        <f t="shared" si="301"/>
        <v>27.048096362148758</v>
      </c>
      <c r="AL482" s="98">
        <f t="shared" si="302"/>
        <v>1.5338167206079341</v>
      </c>
      <c r="AM482" s="98" t="str">
        <f t="shared" si="287"/>
        <v>1+1865.04270716822i</v>
      </c>
      <c r="AN482" s="98">
        <f t="shared" si="303"/>
        <v>1865.0429752585762</v>
      </c>
      <c r="AO482" s="98">
        <f t="shared" si="304"/>
        <v>1.5702601460949446</v>
      </c>
      <c r="AP482" s="168" t="str">
        <f t="shared" si="305"/>
        <v>-0.000486276841217674+0.0133374274544895i</v>
      </c>
      <c r="AQ482" s="98">
        <f t="shared" si="306"/>
        <v>-37.492789352636031</v>
      </c>
      <c r="AR482" s="169">
        <f t="shared" si="307"/>
        <v>92.088054471405187</v>
      </c>
      <c r="AS482" s="168" t="str">
        <f t="shared" si="308"/>
        <v>-0.000100052666391041-0.0000118952839920303i</v>
      </c>
      <c r="AT482" s="190">
        <f t="shared" si="309"/>
        <v>-79.934469435580468</v>
      </c>
      <c r="AU482" s="169">
        <f t="shared" si="310"/>
        <v>-173.21991759937339</v>
      </c>
      <c r="AV482" s="225"/>
      <c r="AX482">
        <f t="shared" si="311"/>
        <v>0</v>
      </c>
      <c r="AY482">
        <f t="shared" si="312"/>
        <v>0</v>
      </c>
    </row>
    <row r="483" spans="14:51" x14ac:dyDescent="0.3">
      <c r="N483" s="170">
        <v>65</v>
      </c>
      <c r="O483" s="199">
        <f t="shared" si="278"/>
        <v>446683.59215096442</v>
      </c>
      <c r="P483" s="189" t="str">
        <f t="shared" si="279"/>
        <v>108.75</v>
      </c>
      <c r="Q483" s="160" t="str">
        <f t="shared" si="280"/>
        <v>1+7123.14009766297i</v>
      </c>
      <c r="R483" s="160">
        <f t="shared" si="288"/>
        <v>7123.1401678567327</v>
      </c>
      <c r="S483" s="160">
        <f t="shared" si="289"/>
        <v>1.5706559392720176</v>
      </c>
      <c r="T483" s="160" t="str">
        <f t="shared" si="281"/>
        <v>1+0.263820003617148i</v>
      </c>
      <c r="U483" s="160">
        <f t="shared" si="290"/>
        <v>1.0342151586147594</v>
      </c>
      <c r="V483" s="160">
        <f t="shared" si="291"/>
        <v>0.25794284018368341</v>
      </c>
      <c r="W483" s="98" t="str">
        <f t="shared" si="282"/>
        <v>1-2.09559151809366i</v>
      </c>
      <c r="X483" s="160">
        <f t="shared" si="292"/>
        <v>2.3219611992249338</v>
      </c>
      <c r="Y483" s="160">
        <f t="shared" si="293"/>
        <v>-1.1255608437273039</v>
      </c>
      <c r="Z483" s="98" t="str">
        <f t="shared" si="283"/>
        <v>-3.03032408023004+4.04219636482167i</v>
      </c>
      <c r="AA483" s="160">
        <f t="shared" si="294"/>
        <v>5.0519516508968652</v>
      </c>
      <c r="AB483" s="160">
        <f t="shared" si="295"/>
        <v>2.2140879017703883</v>
      </c>
      <c r="AC483" s="171" t="str">
        <f t="shared" si="296"/>
        <v>-0.000435362706796633+0.00724405166838146i</v>
      </c>
      <c r="AD483" s="190">
        <f t="shared" si="297"/>
        <v>-42.78471106136935</v>
      </c>
      <c r="AE483" s="169">
        <f t="shared" si="298"/>
        <v>93.439301537522041</v>
      </c>
      <c r="AF483" s="98" t="str">
        <f t="shared" si="284"/>
        <v>-0.0000366300366300366</v>
      </c>
      <c r="AG483" s="98" t="str">
        <f t="shared" si="285"/>
        <v>0.193655109038119i</v>
      </c>
      <c r="AH483" s="98">
        <f t="shared" si="299"/>
        <v>0.193655109038119</v>
      </c>
      <c r="AI483" s="98">
        <f t="shared" si="300"/>
        <v>1.5707963267948966</v>
      </c>
      <c r="AJ483" s="98" t="str">
        <f t="shared" si="286"/>
        <v>1+27.6592048195591i</v>
      </c>
      <c r="AK483" s="98">
        <f t="shared" si="301"/>
        <v>27.67727608075479</v>
      </c>
      <c r="AL483" s="98">
        <f t="shared" si="302"/>
        <v>1.5346577379930944</v>
      </c>
      <c r="AM483" s="98" t="str">
        <f t="shared" si="287"/>
        <v>1+1908.48513254957i</v>
      </c>
      <c r="AN483" s="98">
        <f t="shared" si="303"/>
        <v>1908.4853945374459</v>
      </c>
      <c r="AO483" s="98">
        <f t="shared" si="304"/>
        <v>1.5702723510554852</v>
      </c>
      <c r="AP483" s="168" t="str">
        <f t="shared" si="305"/>
        <v>-0.000464419348821685+0.0130346207833033i</v>
      </c>
      <c r="AQ483" s="98">
        <f t="shared" si="306"/>
        <v>-37.692522226138692</v>
      </c>
      <c r="AR483" s="169">
        <f t="shared" si="307"/>
        <v>92.040567017466486</v>
      </c>
      <c r="AS483" s="168" t="str">
        <f t="shared" si="308"/>
        <v>-0.0000942212755672162-9.03906554494693E-06i</v>
      </c>
      <c r="AT483" s="190">
        <f t="shared" si="309"/>
        <v>-80.477233287508042</v>
      </c>
      <c r="AU483" s="169">
        <f t="shared" si="310"/>
        <v>-174.52013144501149</v>
      </c>
      <c r="AV483" s="225"/>
      <c r="AX483">
        <f t="shared" si="311"/>
        <v>0</v>
      </c>
      <c r="AY483">
        <f t="shared" si="312"/>
        <v>0</v>
      </c>
    </row>
    <row r="484" spans="14:51" x14ac:dyDescent="0.3">
      <c r="N484" s="170">
        <v>66</v>
      </c>
      <c r="O484" s="199">
        <f t="shared" ref="O484:O518" si="313">10^(5+(N484/100))</f>
        <v>457088.18961487547</v>
      </c>
      <c r="P484" s="189" t="str">
        <f t="shared" si="279"/>
        <v>108.75</v>
      </c>
      <c r="Q484" s="160" t="str">
        <f t="shared" si="280"/>
        <v>1+7289.05934497254i</v>
      </c>
      <c r="R484" s="160">
        <f t="shared" si="288"/>
        <v>7289.0594135684969</v>
      </c>
      <c r="S484" s="160">
        <f t="shared" si="289"/>
        <v>1.570659134882141</v>
      </c>
      <c r="T484" s="160" t="str">
        <f t="shared" si="281"/>
        <v>1+0.26996516092491i</v>
      </c>
      <c r="U484" s="160">
        <f t="shared" si="290"/>
        <v>1.0357997818657874</v>
      </c>
      <c r="V484" s="160">
        <f t="shared" si="291"/>
        <v>0.26367936230220579</v>
      </c>
      <c r="W484" s="98" t="str">
        <f t="shared" si="282"/>
        <v>1-2.14440411514822i</v>
      </c>
      <c r="X484" s="160">
        <f t="shared" si="292"/>
        <v>2.3661084102518677</v>
      </c>
      <c r="Y484" s="160">
        <f t="shared" si="293"/>
        <v>-1.1344456513988346</v>
      </c>
      <c r="Z484" s="98" t="str">
        <f t="shared" si="283"/>
        <v>-3.22026740230583+4.13635121354474i</v>
      </c>
      <c r="AA484" s="160">
        <f t="shared" si="294"/>
        <v>5.242091520008648</v>
      </c>
      <c r="AB484" s="160">
        <f t="shared" si="295"/>
        <v>2.2323070977234822</v>
      </c>
      <c r="AC484" s="171" t="str">
        <f t="shared" si="296"/>
        <v>-0.000269573705746056+0.00697010085582878i</v>
      </c>
      <c r="AD484" s="190">
        <f t="shared" si="297"/>
        <v>-43.128727380162857</v>
      </c>
      <c r="AE484" s="169">
        <f t="shared" si="298"/>
        <v>92.214851933425592</v>
      </c>
      <c r="AF484" s="98" t="str">
        <f t="shared" si="284"/>
        <v>-0.0000366300366300366</v>
      </c>
      <c r="AG484" s="98" t="str">
        <f t="shared" si="285"/>
        <v>0.198165915998072i</v>
      </c>
      <c r="AH484" s="98">
        <f t="shared" si="299"/>
        <v>0.19816591599807201</v>
      </c>
      <c r="AI484" s="98">
        <f t="shared" si="300"/>
        <v>1.5707963267948966</v>
      </c>
      <c r="AJ484" s="98" t="str">
        <f t="shared" si="286"/>
        <v>1+28.3034704639128i</v>
      </c>
      <c r="AK484" s="98">
        <f t="shared" si="301"/>
        <v>28.321130632472713</v>
      </c>
      <c r="AL484" s="98">
        <f t="shared" si="302"/>
        <v>1.535479660908639</v>
      </c>
      <c r="AM484" s="98" t="str">
        <f t="shared" si="287"/>
        <v>1+1952.93946200998i</v>
      </c>
      <c r="AN484" s="98">
        <f t="shared" si="303"/>
        <v>1952.9397180342842</v>
      </c>
      <c r="AO484" s="98">
        <f t="shared" si="304"/>
        <v>1.5702842781973569</v>
      </c>
      <c r="AP484" s="168" t="str">
        <f t="shared" si="305"/>
        <v>-0.000443543094856377+0.0127386541768557i</v>
      </c>
      <c r="AQ484" s="98">
        <f t="shared" si="306"/>
        <v>-37.892267106968823</v>
      </c>
      <c r="AR484" s="169">
        <f t="shared" si="307"/>
        <v>91.994157678211579</v>
      </c>
      <c r="AS484" s="168" t="str">
        <f t="shared" si="308"/>
        <v>-0.0000886701368244703-6.52554631772785E-06i</v>
      </c>
      <c r="AT484" s="190">
        <f t="shared" si="309"/>
        <v>-81.020994487131688</v>
      </c>
      <c r="AU484" s="169">
        <f t="shared" si="310"/>
        <v>-175.79099038836281</v>
      </c>
      <c r="AV484" s="225"/>
      <c r="AX484">
        <f t="shared" si="311"/>
        <v>0</v>
      </c>
      <c r="AY484">
        <f t="shared" si="312"/>
        <v>0</v>
      </c>
    </row>
    <row r="485" spans="14:51" x14ac:dyDescent="0.3">
      <c r="N485" s="170">
        <v>67</v>
      </c>
      <c r="O485" s="199">
        <f t="shared" si="313"/>
        <v>467735.14128719864</v>
      </c>
      <c r="P485" s="189" t="str">
        <f t="shared" si="279"/>
        <v>108.75</v>
      </c>
      <c r="Q485" s="160" t="str">
        <f t="shared" si="280"/>
        <v>1+7458.84334802893i</v>
      </c>
      <c r="R485" s="160">
        <f t="shared" si="288"/>
        <v>7458.8434150634521</v>
      </c>
      <c r="S485" s="160">
        <f t="shared" si="289"/>
        <v>1.5706622577512999</v>
      </c>
      <c r="T485" s="160" t="str">
        <f t="shared" si="281"/>
        <v>1+0.276253457334406i</v>
      </c>
      <c r="U485" s="160">
        <f t="shared" si="290"/>
        <v>1.0374564919500058</v>
      </c>
      <c r="V485" s="160">
        <f t="shared" si="291"/>
        <v>0.26953116635630781</v>
      </c>
      <c r="W485" s="98" t="str">
        <f t="shared" si="282"/>
        <v>1-2.19435370364918i</v>
      </c>
      <c r="X485" s="160">
        <f t="shared" si="292"/>
        <v>2.4114701276853654</v>
      </c>
      <c r="Y485" s="160">
        <f t="shared" si="293"/>
        <v>-1.1431999415415535</v>
      </c>
      <c r="Z485" s="98" t="str">
        <f t="shared" si="283"/>
        <v>-3.41916247736304+4.23269921043233i</v>
      </c>
      <c r="AA485" s="160">
        <f t="shared" si="294"/>
        <v>5.4411776898573931</v>
      </c>
      <c r="AB485" s="160">
        <f t="shared" si="295"/>
        <v>2.2502735956499782</v>
      </c>
      <c r="AC485" s="171" t="str">
        <f t="shared" si="296"/>
        <v>-0.000119215244312107+0.00670267192238245i</v>
      </c>
      <c r="AD485" s="190">
        <f t="shared" si="297"/>
        <v>-43.47366707970491</v>
      </c>
      <c r="AE485" s="169">
        <f t="shared" si="298"/>
        <v>91.018968299410759</v>
      </c>
      <c r="AF485" s="98" t="str">
        <f t="shared" si="284"/>
        <v>-0.0000366300366300366</v>
      </c>
      <c r="AG485" s="98" t="str">
        <f t="shared" si="285"/>
        <v>0.202781793149723i</v>
      </c>
      <c r="AH485" s="98">
        <f t="shared" si="299"/>
        <v>0.202781793149723</v>
      </c>
      <c r="AI485" s="98">
        <f t="shared" si="300"/>
        <v>1.5707963267948966</v>
      </c>
      <c r="AJ485" s="98" t="str">
        <f t="shared" si="286"/>
        <v>1+28.9627429829472i</v>
      </c>
      <c r="AK485" s="98">
        <f t="shared" si="301"/>
        <v>28.980001399176249</v>
      </c>
      <c r="AL485" s="98">
        <f t="shared" si="302"/>
        <v>1.5362829207043924</v>
      </c>
      <c r="AM485" s="98" t="str">
        <f t="shared" si="287"/>
        <v>1+1998.42926582335i</v>
      </c>
      <c r="AN485" s="98">
        <f t="shared" si="303"/>
        <v>1998.4295160198308</v>
      </c>
      <c r="AO485" s="98">
        <f t="shared" si="304"/>
        <v>1.5702959338444744</v>
      </c>
      <c r="AP485" s="168" t="str">
        <f t="shared" si="305"/>
        <v>-0.000423604136834798+0.0124493754412333i</v>
      </c>
      <c r="AQ485" s="98">
        <f t="shared" si="306"/>
        <v>-38.092023456056467</v>
      </c>
      <c r="AR485" s="169">
        <f t="shared" si="307"/>
        <v>91.948802101449715</v>
      </c>
      <c r="AS485" s="168" t="str">
        <f t="shared" si="308"/>
        <v>-0.0000833935791504877-4.32343488892743E-06i</v>
      </c>
      <c r="AT485" s="190">
        <f t="shared" si="309"/>
        <v>-81.565690535761362</v>
      </c>
      <c r="AU485" s="169">
        <f t="shared" si="310"/>
        <v>-177.03222959913953</v>
      </c>
      <c r="AV485" s="225"/>
      <c r="AX485">
        <f t="shared" si="311"/>
        <v>0</v>
      </c>
      <c r="AY485">
        <f t="shared" si="312"/>
        <v>0</v>
      </c>
    </row>
    <row r="486" spans="14:51" x14ac:dyDescent="0.3">
      <c r="N486" s="170">
        <v>68</v>
      </c>
      <c r="O486" s="199">
        <f t="shared" si="313"/>
        <v>478630.09232263872</v>
      </c>
      <c r="P486" s="189" t="str">
        <f t="shared" si="279"/>
        <v>108.75</v>
      </c>
      <c r="Q486" s="160" t="str">
        <f t="shared" si="280"/>
        <v>1+7632.58212855793i</v>
      </c>
      <c r="R486" s="160">
        <f t="shared" si="288"/>
        <v>7632.5821940665601</v>
      </c>
      <c r="S486" s="160">
        <f t="shared" si="289"/>
        <v>1.5706653095352805</v>
      </c>
      <c r="T486" s="160" t="str">
        <f t="shared" si="281"/>
        <v>1+0.282688226983628i</v>
      </c>
      <c r="U486" s="160">
        <f t="shared" si="290"/>
        <v>1.0391884495485635</v>
      </c>
      <c r="V486" s="160">
        <f t="shared" si="291"/>
        <v>0.27549975130846055</v>
      </c>
      <c r="W486" s="98" t="str">
        <f t="shared" si="282"/>
        <v>1-2.24546676752953i</v>
      </c>
      <c r="X486" s="160">
        <f t="shared" si="292"/>
        <v>2.4580726197733695</v>
      </c>
      <c r="Y486" s="160">
        <f t="shared" si="293"/>
        <v>-1.1518229875081596</v>
      </c>
      <c r="Z486" s="98" t="str">
        <f t="shared" si="283"/>
        <v>-3.62743118852218+4.33129144046768i</v>
      </c>
      <c r="AA486" s="160">
        <f t="shared" si="294"/>
        <v>5.6496320738373775</v>
      </c>
      <c r="AB486" s="160">
        <f t="shared" si="295"/>
        <v>2.2679851400152087</v>
      </c>
      <c r="AC486" s="171" t="str">
        <f t="shared" si="296"/>
        <v>0.0000166508800033325+0.00644206614251393i</v>
      </c>
      <c r="AD486" s="190">
        <f t="shared" si="297"/>
        <v>-43.819467395433058</v>
      </c>
      <c r="AE486" s="169">
        <f t="shared" si="298"/>
        <v>89.851907291272042</v>
      </c>
      <c r="AF486" s="98" t="str">
        <f t="shared" si="284"/>
        <v>-0.0000366300366300366</v>
      </c>
      <c r="AG486" s="98" t="str">
        <f t="shared" si="285"/>
        <v>0.207505187892237i</v>
      </c>
      <c r="AH486" s="98">
        <f t="shared" si="299"/>
        <v>0.20750518789223699</v>
      </c>
      <c r="AI486" s="98">
        <f t="shared" si="300"/>
        <v>1.5707963267948966</v>
      </c>
      <c r="AJ486" s="98" t="str">
        <f t="shared" si="286"/>
        <v>1+29.6373719316785i</v>
      </c>
      <c r="AK486" s="98">
        <f t="shared" si="301"/>
        <v>29.654237724423883</v>
      </c>
      <c r="AL486" s="98">
        <f t="shared" si="302"/>
        <v>1.5370679391306874</v>
      </c>
      <c r="AM486" s="98" t="str">
        <f t="shared" si="287"/>
        <v>1+2044.97866328581i</v>
      </c>
      <c r="AN486" s="98">
        <f t="shared" si="303"/>
        <v>2044.9789077871239</v>
      </c>
      <c r="AO486" s="98">
        <f t="shared" si="304"/>
        <v>1.5703073241768031</v>
      </c>
      <c r="AP486" s="168" t="str">
        <f t="shared" si="305"/>
        <v>-0.0004045604906566+0.0121666356139835i</v>
      </c>
      <c r="AQ486" s="98">
        <f t="shared" si="306"/>
        <v>-38.29179075847501</v>
      </c>
      <c r="AR486" s="169">
        <f t="shared" si="307"/>
        <v>91.904476476752677</v>
      </c>
      <c r="AS486" s="168" t="str">
        <f t="shared" si="308"/>
        <v>-0.0000783850076453313-2.40362024980499E-06i</v>
      </c>
      <c r="AT486" s="190">
        <f t="shared" si="309"/>
        <v>-82.111258153908068</v>
      </c>
      <c r="AU486" s="169">
        <f t="shared" si="310"/>
        <v>-178.2436162319753</v>
      </c>
      <c r="AV486" s="225"/>
      <c r="AX486">
        <f t="shared" si="311"/>
        <v>0</v>
      </c>
      <c r="AY486">
        <f t="shared" si="312"/>
        <v>0</v>
      </c>
    </row>
    <row r="487" spans="14:51" x14ac:dyDescent="0.3">
      <c r="N487" s="170">
        <v>69</v>
      </c>
      <c r="O487" s="199">
        <f t="shared" si="313"/>
        <v>489778.81936844654</v>
      </c>
      <c r="P487" s="189" t="str">
        <f t="shared" si="279"/>
        <v>108.75</v>
      </c>
      <c r="Q487" s="160" t="str">
        <f t="shared" si="280"/>
        <v>1+7810.36780516066i</v>
      </c>
      <c r="R487" s="160">
        <f t="shared" si="288"/>
        <v>7810.3678691781315</v>
      </c>
      <c r="S487" s="160">
        <f t="shared" si="289"/>
        <v>1.5706682918521793</v>
      </c>
      <c r="T487" s="160" t="str">
        <f t="shared" si="281"/>
        <v>1+0.289272881672618i</v>
      </c>
      <c r="U487" s="160">
        <f t="shared" si="290"/>
        <v>1.0409989433573794</v>
      </c>
      <c r="V487" s="160">
        <f t="shared" si="291"/>
        <v>0.28158658010812215</v>
      </c>
      <c r="W487" s="98" t="str">
        <f t="shared" si="282"/>
        <v>1-2.29777040761229i</v>
      </c>
      <c r="X487" s="160">
        <f t="shared" si="292"/>
        <v>2.5059427060686663</v>
      </c>
      <c r="Y487" s="160">
        <f t="shared" si="293"/>
        <v>-1.1603142308476715</v>
      </c>
      <c r="Z487" s="98" t="str">
        <f t="shared" si="283"/>
        <v>-3.84551530164269+4.4321801785562i</v>
      </c>
      <c r="AA487" s="160">
        <f t="shared" si="294"/>
        <v>5.8678964774742353</v>
      </c>
      <c r="AB487" s="160">
        <f t="shared" si="295"/>
        <v>2.2854398266746871</v>
      </c>
      <c r="AC487" s="171" t="str">
        <f t="shared" si="296"/>
        <v>0.000138935909866433+0.00618852768396513i</v>
      </c>
      <c r="AD487" s="190">
        <f t="shared" si="297"/>
        <v>-44.166064825901799</v>
      </c>
      <c r="AE487" s="169">
        <f t="shared" si="298"/>
        <v>88.713893733455947</v>
      </c>
      <c r="AF487" s="98" t="str">
        <f t="shared" si="284"/>
        <v>-0.0000366300366300366</v>
      </c>
      <c r="AG487" s="98" t="str">
        <f t="shared" si="285"/>
        <v>0.212338604632028i</v>
      </c>
      <c r="AH487" s="98">
        <f t="shared" si="299"/>
        <v>0.212338604632028</v>
      </c>
      <c r="AI487" s="98">
        <f t="shared" si="300"/>
        <v>1.5707963267948966</v>
      </c>
      <c r="AJ487" s="98" t="str">
        <f t="shared" si="286"/>
        <v>1+30.327715007305i</v>
      </c>
      <c r="AK487" s="98">
        <f t="shared" si="301"/>
        <v>30.344197098692742</v>
      </c>
      <c r="AL487" s="98">
        <f t="shared" si="302"/>
        <v>1.5378351285423075</v>
      </c>
      <c r="AM487" s="98" t="str">
        <f t="shared" si="287"/>
        <v>1+2092.61233550404i</v>
      </c>
      <c r="AN487" s="98">
        <f t="shared" si="303"/>
        <v>2092.612574439825</v>
      </c>
      <c r="AO487" s="98">
        <f t="shared" si="304"/>
        <v>1.5703184552336364</v>
      </c>
      <c r="AP487" s="168" t="str">
        <f t="shared" si="305"/>
        <v>-0.000386372044162135+0.0118902889059881i</v>
      </c>
      <c r="AQ487" s="98">
        <f t="shared" si="306"/>
        <v>-38.491568522365547</v>
      </c>
      <c r="AR487" s="169">
        <f t="shared" si="307"/>
        <v>91.8611575239578</v>
      </c>
      <c r="AS487" s="168" t="str">
        <f t="shared" si="308"/>
        <v>-0.0000736370630165534-7.39085983879359E-07i</v>
      </c>
      <c r="AT487" s="190">
        <f t="shared" si="309"/>
        <v>-82.657633348267353</v>
      </c>
      <c r="AU487" s="169">
        <f t="shared" si="310"/>
        <v>-179.42494874258625</v>
      </c>
      <c r="AV487" s="225"/>
      <c r="AX487">
        <f t="shared" si="311"/>
        <v>0</v>
      </c>
      <c r="AY487">
        <f t="shared" si="312"/>
        <v>0</v>
      </c>
    </row>
    <row r="488" spans="14:51" x14ac:dyDescent="0.3">
      <c r="N488" s="170">
        <v>70</v>
      </c>
      <c r="O488" s="199">
        <f t="shared" si="313"/>
        <v>501187.23362727347</v>
      </c>
      <c r="P488" s="189" t="str">
        <f t="shared" si="279"/>
        <v>108.75</v>
      </c>
      <c r="Q488" s="160" t="str">
        <f t="shared" si="280"/>
        <v>1+7992.29464215614i</v>
      </c>
      <c r="R488" s="160">
        <f t="shared" si="288"/>
        <v>7992.2947047163962</v>
      </c>
      <c r="S488" s="160">
        <f t="shared" si="289"/>
        <v>1.5706712062832595</v>
      </c>
      <c r="T488" s="160" t="str">
        <f t="shared" si="281"/>
        <v>1+0.29601091267245i</v>
      </c>
      <c r="U488" s="160">
        <f t="shared" si="290"/>
        <v>1.0428913943557003</v>
      </c>
      <c r="V488" s="160">
        <f t="shared" si="291"/>
        <v>0.28779307525950559</v>
      </c>
      <c r="W488" s="98" t="str">
        <f t="shared" si="282"/>
        <v>1-2.35129235597975i</v>
      </c>
      <c r="X488" s="160">
        <f t="shared" si="292"/>
        <v>2.5551077752785307</v>
      </c>
      <c r="Y488" s="160">
        <f t="shared" si="293"/>
        <v>-1.1686732748509245</v>
      </c>
      <c r="Z488" s="98" t="str">
        <f t="shared" si="283"/>
        <v>-4.07387740236755+4.53541891724223i</v>
      </c>
      <c r="AA488" s="160">
        <f t="shared" si="294"/>
        <v>6.0964335348135847</v>
      </c>
      <c r="AB488" s="160">
        <f t="shared" si="295"/>
        <v>2.3026360921049709</v>
      </c>
      <c r="AC488" s="171" t="str">
        <f t="shared" si="296"/>
        <v>0.0002485218923377+0.00594224765783817i</v>
      </c>
      <c r="AD488" s="190">
        <f t="shared" si="297"/>
        <v>-44.513395198074093</v>
      </c>
      <c r="AE488" s="169">
        <f t="shared" si="298"/>
        <v>87.605121351905524</v>
      </c>
      <c r="AF488" s="98" t="str">
        <f t="shared" si="284"/>
        <v>-0.0000366300366300366</v>
      </c>
      <c r="AG488" s="98" t="str">
        <f t="shared" si="285"/>
        <v>0.217284606110628i</v>
      </c>
      <c r="AH488" s="98">
        <f t="shared" si="299"/>
        <v>0.217284606110628</v>
      </c>
      <c r="AI488" s="98">
        <f t="shared" si="300"/>
        <v>1.5707963267948966</v>
      </c>
      <c r="AJ488" s="98" t="str">
        <f t="shared" si="286"/>
        <v>1+31.0341382388631i</v>
      </c>
      <c r="AK488" s="98">
        <f t="shared" si="301"/>
        <v>31.050245348931863</v>
      </c>
      <c r="AL488" s="98">
        <f t="shared" si="302"/>
        <v>1.5385848920987528</v>
      </c>
      <c r="AM488" s="98" t="str">
        <f t="shared" si="287"/>
        <v>1+2141.35553848155i</v>
      </c>
      <c r="AN488" s="98">
        <f t="shared" si="303"/>
        <v>2141.3557719784935</v>
      </c>
      <c r="AO488" s="98">
        <f t="shared" si="304"/>
        <v>1.5703293329167971</v>
      </c>
      <c r="AP488" s="168" t="str">
        <f t="shared" si="305"/>
        <v>-0.000369000474428831+0.0116201926436438i</v>
      </c>
      <c r="AQ488" s="98">
        <f t="shared" si="306"/>
        <v>-38.691356277907623</v>
      </c>
      <c r="AR488" s="169">
        <f t="shared" si="307"/>
        <v>91.818822481876751</v>
      </c>
      <c r="AS488" s="168" t="str">
        <f t="shared" si="308"/>
        <v>-0.0000691417672164993+6.95180060211083E-07i</v>
      </c>
      <c r="AT488" s="190">
        <f t="shared" si="309"/>
        <v>-83.204751475981709</v>
      </c>
      <c r="AU488" s="169">
        <f t="shared" si="310"/>
        <v>179.42394383378229</v>
      </c>
      <c r="AV488" s="225"/>
      <c r="AX488">
        <f t="shared" si="311"/>
        <v>0</v>
      </c>
      <c r="AY488">
        <f t="shared" si="312"/>
        <v>0</v>
      </c>
    </row>
    <row r="489" spans="14:51" x14ac:dyDescent="0.3">
      <c r="N489" s="170">
        <v>71</v>
      </c>
      <c r="O489" s="199">
        <f t="shared" si="313"/>
        <v>512861.38399136515</v>
      </c>
      <c r="P489" s="189" t="str">
        <f t="shared" si="279"/>
        <v>108.75</v>
      </c>
      <c r="Q489" s="160" t="str">
        <f t="shared" si="280"/>
        <v>1+8178.45909956136i</v>
      </c>
      <c r="R489" s="160">
        <f t="shared" si="288"/>
        <v>8178.4591606975691</v>
      </c>
      <c r="S489" s="160">
        <f t="shared" si="289"/>
        <v>1.5706740543737909</v>
      </c>
      <c r="T489" s="160" t="str">
        <f t="shared" si="281"/>
        <v>1+0.302905892576348i</v>
      </c>
      <c r="U489" s="160">
        <f t="shared" si="290"/>
        <v>1.0448693601390913</v>
      </c>
      <c r="V489" s="160">
        <f t="shared" si="291"/>
        <v>0.29412061417588287</v>
      </c>
      <c r="W489" s="98" t="str">
        <f t="shared" si="282"/>
        <v>1-2.40606099067737i</v>
      </c>
      <c r="X489" s="160">
        <f t="shared" si="292"/>
        <v>2.6055958034314082</v>
      </c>
      <c r="Y489" s="160">
        <f t="shared" si="293"/>
        <v>-1.1768998779295163</v>
      </c>
      <c r="Z489" s="98" t="str">
        <f t="shared" si="283"/>
        <v>-4.31300187732934+4.64106239507152i</v>
      </c>
      <c r="AA489" s="160">
        <f t="shared" si="294"/>
        <v>6.3357276889709677</v>
      </c>
      <c r="AB489" s="160">
        <f t="shared" si="295"/>
        <v>2.319572702073494</v>
      </c>
      <c r="AC489" s="171" t="str">
        <f t="shared" si="296"/>
        <v>0.000346259847388134+0.00570336814700955i</v>
      </c>
      <c r="AD489" s="190">
        <f t="shared" si="297"/>
        <v>-44.861393729852104</v>
      </c>
      <c r="AE489" s="169">
        <f t="shared" si="298"/>
        <v>86.525753536363368</v>
      </c>
      <c r="AF489" s="98" t="str">
        <f t="shared" si="284"/>
        <v>-0.0000366300366300366</v>
      </c>
      <c r="AG489" s="98" t="str">
        <f t="shared" si="285"/>
        <v>0.222345814763489i</v>
      </c>
      <c r="AH489" s="98">
        <f t="shared" si="299"/>
        <v>0.222345814763489</v>
      </c>
      <c r="AI489" s="98">
        <f t="shared" si="300"/>
        <v>1.5707963267948966</v>
      </c>
      <c r="AJ489" s="98" t="str">
        <f t="shared" si="286"/>
        <v>1+31.7570161813007i</v>
      </c>
      <c r="AK489" s="98">
        <f t="shared" si="301"/>
        <v>31.772756832534917</v>
      </c>
      <c r="AL489" s="98">
        <f t="shared" si="302"/>
        <v>1.5393176239608481</v>
      </c>
      <c r="AM489" s="98" t="str">
        <f t="shared" si="287"/>
        <v>1+2191.23411650974i</v>
      </c>
      <c r="AN489" s="98">
        <f t="shared" si="303"/>
        <v>2191.2343446916448</v>
      </c>
      <c r="AO489" s="98">
        <f t="shared" si="304"/>
        <v>1.570339962993766</v>
      </c>
      <c r="AP489" s="168" t="str">
        <f t="shared" si="305"/>
        <v>-0.000352409168654467+0.0113562072114064i</v>
      </c>
      <c r="AQ489" s="98">
        <f t="shared" si="306"/>
        <v>-38.891153576336464</v>
      </c>
      <c r="AR489" s="169">
        <f t="shared" si="307"/>
        <v>91.777449097210138</v>
      </c>
      <c r="AS489" s="168" t="str">
        <f t="shared" si="308"/>
        <v>-0.0000648906556253319+0.0000019222793487116i</v>
      </c>
      <c r="AT489" s="190">
        <f t="shared" si="309"/>
        <v>-83.752547306188561</v>
      </c>
      <c r="AU489" s="169">
        <f t="shared" si="310"/>
        <v>178.30320263357351</v>
      </c>
      <c r="AV489" s="225"/>
      <c r="AX489">
        <f t="shared" si="311"/>
        <v>0</v>
      </c>
      <c r="AY489">
        <f t="shared" si="312"/>
        <v>0</v>
      </c>
    </row>
    <row r="490" spans="14:51" x14ac:dyDescent="0.3">
      <c r="N490" s="170">
        <v>72</v>
      </c>
      <c r="O490" s="199">
        <f t="shared" si="313"/>
        <v>524807.46024977288</v>
      </c>
      <c r="P490" s="189" t="str">
        <f t="shared" si="279"/>
        <v>108.75</v>
      </c>
      <c r="Q490" s="160" t="str">
        <f t="shared" si="280"/>
        <v>1+8368.95988423592i</v>
      </c>
      <c r="R490" s="160">
        <f t="shared" si="288"/>
        <v>8368.9599439804988</v>
      </c>
      <c r="S490" s="160">
        <f t="shared" si="289"/>
        <v>1.5706768376338691</v>
      </c>
      <c r="T490" s="160" t="str">
        <f t="shared" si="281"/>
        <v>1+0.309961477193924i</v>
      </c>
      <c r="U490" s="160">
        <f t="shared" si="290"/>
        <v>1.0469365393108789</v>
      </c>
      <c r="V490" s="160">
        <f t="shared" si="291"/>
        <v>0.30057052432049702</v>
      </c>
      <c r="W490" s="98" t="str">
        <f t="shared" si="282"/>
        <v>1-2.46210535076025i</v>
      </c>
      <c r="X490" s="160">
        <f t="shared" si="292"/>
        <v>2.6574353723547546</v>
      </c>
      <c r="Y490" s="160">
        <f t="shared" si="293"/>
        <v>-1.1849939468720427</v>
      </c>
      <c r="Z490" s="98" t="str">
        <f t="shared" si="283"/>
        <v>-4.5633959415996+4.74916662561443i</v>
      </c>
      <c r="AA490" s="160">
        <f t="shared" si="294"/>
        <v>6.5862862189292724</v>
      </c>
      <c r="AB490" s="160">
        <f t="shared" si="295"/>
        <v>2.336248739837675</v>
      </c>
      <c r="AC490" s="171" t="str">
        <f t="shared" si="296"/>
        <v>0.000432968317357158+0.00547198617897132i</v>
      </c>
      <c r="AD490" s="190">
        <f t="shared" si="297"/>
        <v>-45.209995089900943</v>
      </c>
      <c r="AE490" s="169">
        <f t="shared" si="298"/>
        <v>85.475924124449534</v>
      </c>
      <c r="AF490" s="98" t="str">
        <f t="shared" si="284"/>
        <v>-0.0000366300366300366</v>
      </c>
      <c r="AG490" s="98" t="str">
        <f t="shared" si="285"/>
        <v>0.227524914110433i</v>
      </c>
      <c r="AH490" s="98">
        <f t="shared" si="299"/>
        <v>0.22752491411043299</v>
      </c>
      <c r="AI490" s="98">
        <f t="shared" si="300"/>
        <v>1.5707963267948966</v>
      </c>
      <c r="AJ490" s="98" t="str">
        <f t="shared" si="286"/>
        <v>1+32.4967321140716i</v>
      </c>
      <c r="AK490" s="98">
        <f t="shared" si="301"/>
        <v>32.512114635835864</v>
      </c>
      <c r="AL490" s="98">
        <f t="shared" si="302"/>
        <v>1.5400337094837202</v>
      </c>
      <c r="AM490" s="98" t="str">
        <f t="shared" si="287"/>
        <v>1+2242.27451587093i</v>
      </c>
      <c r="AN490" s="98">
        <f t="shared" si="303"/>
        <v>2242.2747388587804</v>
      </c>
      <c r="AO490" s="98">
        <f t="shared" si="304"/>
        <v>1.5703503511007415</v>
      </c>
      <c r="AP490" s="168" t="str">
        <f t="shared" si="305"/>
        <v>-0.00033656314847767+0.0110981959947549i</v>
      </c>
      <c r="AQ490" s="98">
        <f t="shared" si="306"/>
        <v>-39.090959989003082</v>
      </c>
      <c r="AR490" s="169">
        <f t="shared" si="307"/>
        <v>91.737015613665974</v>
      </c>
      <c r="AS490" s="168" t="str">
        <f t="shared" si="308"/>
        <v>-0.0000608748962748945+0.0000029634983487281i</v>
      </c>
      <c r="AT490" s="190">
        <f t="shared" si="309"/>
        <v>-84.300955078904025</v>
      </c>
      <c r="AU490" s="169">
        <f t="shared" si="310"/>
        <v>177.21293973811552</v>
      </c>
      <c r="AV490" s="225"/>
      <c r="AX490">
        <f t="shared" si="311"/>
        <v>0</v>
      </c>
      <c r="AY490">
        <f t="shared" si="312"/>
        <v>0</v>
      </c>
    </row>
    <row r="491" spans="14:51" x14ac:dyDescent="0.3">
      <c r="N491" s="170">
        <v>73</v>
      </c>
      <c r="O491" s="199">
        <f t="shared" si="313"/>
        <v>537031.7963702539</v>
      </c>
      <c r="P491" s="189" t="str">
        <f t="shared" si="279"/>
        <v>108.75</v>
      </c>
      <c r="Q491" s="160" t="str">
        <f t="shared" si="280"/>
        <v>1+8563.89800221738i</v>
      </c>
      <c r="R491" s="160">
        <f t="shared" si="288"/>
        <v>8563.8980606020086</v>
      </c>
      <c r="S491" s="160">
        <f t="shared" si="289"/>
        <v>1.5706795575392147</v>
      </c>
      <c r="T491" s="160" t="str">
        <f t="shared" si="281"/>
        <v>1+0.317181407489534i</v>
      </c>
      <c r="U491" s="160">
        <f t="shared" si="290"/>
        <v>1.0490967759253871</v>
      </c>
      <c r="V491" s="160">
        <f t="shared" si="291"/>
        <v>0.3071440781353928</v>
      </c>
      <c r="W491" s="98" t="str">
        <f t="shared" si="282"/>
        <v>1-2.51945515168992i</v>
      </c>
      <c r="X491" s="160">
        <f t="shared" si="292"/>
        <v>2.7106556884593211</v>
      </c>
      <c r="Y491" s="160">
        <f t="shared" si="293"/>
        <v>-1.1929555300186827</v>
      </c>
      <c r="Z491" s="98" t="str">
        <f t="shared" si="283"/>
        <v>-4.82559071455947+4.85978892716489i</v>
      </c>
      <c r="AA491" s="160">
        <f t="shared" si="294"/>
        <v>6.8486403147659205</v>
      </c>
      <c r="AB491" s="160">
        <f t="shared" si="295"/>
        <v>2.352663593959945</v>
      </c>
      <c r="AC491" s="171" t="str">
        <f t="shared" si="296"/>
        <v>0.000509432272105069+0.00524815761349373i</v>
      </c>
      <c r="AD491" s="190">
        <f t="shared" si="297"/>
        <v>-45.5591334548619</v>
      </c>
      <c r="AE491" s="169">
        <f t="shared" si="298"/>
        <v>84.455738200274382</v>
      </c>
      <c r="AF491" s="98" t="str">
        <f t="shared" si="284"/>
        <v>-0.0000366300366300366</v>
      </c>
      <c r="AG491" s="98" t="str">
        <f t="shared" si="285"/>
        <v>0.232824650178487i</v>
      </c>
      <c r="AH491" s="98">
        <f t="shared" si="299"/>
        <v>0.232824650178487</v>
      </c>
      <c r="AI491" s="98">
        <f t="shared" si="300"/>
        <v>1.5707963267948966</v>
      </c>
      <c r="AJ491" s="98" t="str">
        <f t="shared" si="286"/>
        <v>1+33.2536782443544i</v>
      </c>
      <c r="AK491" s="98">
        <f t="shared" si="301"/>
        <v>33.268710777231043</v>
      </c>
      <c r="AL491" s="98">
        <f t="shared" si="302"/>
        <v>1.5407335254061656</v>
      </c>
      <c r="AM491" s="98" t="str">
        <f t="shared" si="287"/>
        <v>1+2294.50379886045i</v>
      </c>
      <c r="AN491" s="98">
        <f t="shared" si="303"/>
        <v>2294.5040167724783</v>
      </c>
      <c r="AO491" s="98">
        <f t="shared" si="304"/>
        <v>1.5703605027456262</v>
      </c>
      <c r="AP491" s="168" t="str">
        <f t="shared" si="305"/>
        <v>-0.000321428997591747+0.0108460253236236i</v>
      </c>
      <c r="AQ491" s="98">
        <f t="shared" si="306"/>
        <v>-39.290775106475813</v>
      </c>
      <c r="AR491" s="169">
        <f t="shared" si="307"/>
        <v>91.697500761280821</v>
      </c>
      <c r="AS491" s="168" t="str">
        <f t="shared" si="308"/>
        <v>-0.0000570853966828846+0.0000038384052830139i</v>
      </c>
      <c r="AT491" s="190">
        <f t="shared" si="309"/>
        <v>-84.849908561337713</v>
      </c>
      <c r="AU491" s="169">
        <f t="shared" si="310"/>
        <v>176.15323896155519</v>
      </c>
      <c r="AV491" s="225"/>
      <c r="AX491">
        <f t="shared" si="311"/>
        <v>0</v>
      </c>
      <c r="AY491">
        <f t="shared" si="312"/>
        <v>0</v>
      </c>
    </row>
    <row r="492" spans="14:51" x14ac:dyDescent="0.3">
      <c r="N492" s="170">
        <v>74</v>
      </c>
      <c r="O492" s="199">
        <f t="shared" si="313"/>
        <v>549540.87385762564</v>
      </c>
      <c r="P492" s="189" t="str">
        <f t="shared" si="279"/>
        <v>108.75</v>
      </c>
      <c r="Q492" s="160" t="str">
        <f t="shared" si="280"/>
        <v>1+8763.37681227618i</v>
      </c>
      <c r="R492" s="160">
        <f t="shared" si="288"/>
        <v>8763.3768693318107</v>
      </c>
      <c r="S492" s="160">
        <f t="shared" si="289"/>
        <v>1.5706822155319575</v>
      </c>
      <c r="T492" s="160" t="str">
        <f t="shared" si="281"/>
        <v>1+0.324569511565786i</v>
      </c>
      <c r="U492" s="160">
        <f t="shared" si="290"/>
        <v>1.0513540639756205</v>
      </c>
      <c r="V492" s="160">
        <f t="shared" si="291"/>
        <v>0.31384248776087681</v>
      </c>
      <c r="W492" s="98" t="str">
        <f t="shared" si="282"/>
        <v>1-2.57814080108993i</v>
      </c>
      <c r="X492" s="160">
        <f t="shared" si="292"/>
        <v>2.7652866018271278</v>
      </c>
      <c r="Y492" s="160">
        <f t="shared" si="293"/>
        <v>-1.2007848103924428</v>
      </c>
      <c r="Z492" s="98" t="str">
        <f t="shared" si="283"/>
        <v>-5.10014234647547+4.97298795313142i</v>
      </c>
      <c r="AA492" s="160">
        <f t="shared" si="294"/>
        <v>7.1233462035971922</v>
      </c>
      <c r="AB492" s="160">
        <f t="shared" si="295"/>
        <v>2.3688169458217159</v>
      </c>
      <c r="AC492" s="171" t="str">
        <f t="shared" si="296"/>
        <v>0.000576402343302805+0.00503190091971183i</v>
      </c>
      <c r="AD492" s="190">
        <f t="shared" si="297"/>
        <v>-45.908742564097849</v>
      </c>
      <c r="AE492" s="169">
        <f t="shared" si="298"/>
        <v>83.465272900787795</v>
      </c>
      <c r="AF492" s="98" t="str">
        <f t="shared" si="284"/>
        <v>-0.0000366300366300366</v>
      </c>
      <c r="AG492" s="98" t="str">
        <f t="shared" si="285"/>
        <v>0.238247832957864i</v>
      </c>
      <c r="AH492" s="98">
        <f t="shared" si="299"/>
        <v>0.238247832957864</v>
      </c>
      <c r="AI492" s="98">
        <f t="shared" si="300"/>
        <v>1.5707963267948966</v>
      </c>
      <c r="AJ492" s="98" t="str">
        <f t="shared" si="286"/>
        <v>1+34.0282559150068i</v>
      </c>
      <c r="AK492" s="98">
        <f t="shared" si="301"/>
        <v>34.042946415038692</v>
      </c>
      <c r="AL492" s="98">
        <f t="shared" si="302"/>
        <v>1.5414174400364449</v>
      </c>
      <c r="AM492" s="98" t="str">
        <f t="shared" si="287"/>
        <v>1+2347.94965813546i</v>
      </c>
      <c r="AN492" s="98">
        <f t="shared" si="303"/>
        <v>2347.9498710872049</v>
      </c>
      <c r="AO492" s="98">
        <f t="shared" si="304"/>
        <v>1.5703704233109481</v>
      </c>
      <c r="AP492" s="168" t="str">
        <f t="shared" si="305"/>
        <v>-0.000306974792513454+0.0105995644163447i</v>
      </c>
      <c r="AQ492" s="98">
        <f t="shared" si="306"/>
        <v>-39.490598537682381</v>
      </c>
      <c r="AR492" s="169">
        <f t="shared" si="307"/>
        <v>91.658883745941878</v>
      </c>
      <c r="AS492" s="168" t="str">
        <f t="shared" si="308"/>
        <v>-0.0000535128989248893+4.56494702679332E-06i</v>
      </c>
      <c r="AT492" s="190">
        <f t="shared" si="309"/>
        <v>-85.399341101780237</v>
      </c>
      <c r="AU492" s="169">
        <f t="shared" si="310"/>
        <v>175.12415664672969</v>
      </c>
      <c r="AV492" s="225"/>
      <c r="AX492">
        <f t="shared" si="311"/>
        <v>0</v>
      </c>
      <c r="AY492">
        <f t="shared" si="312"/>
        <v>0</v>
      </c>
    </row>
    <row r="493" spans="14:51" x14ac:dyDescent="0.3">
      <c r="N493" s="170">
        <v>75</v>
      </c>
      <c r="O493" s="199">
        <f t="shared" si="313"/>
        <v>562341.32519035018</v>
      </c>
      <c r="P493" s="189" t="str">
        <f t="shared" si="279"/>
        <v>108.75</v>
      </c>
      <c r="Q493" s="160" t="str">
        <f t="shared" si="280"/>
        <v>1+8967.50208071789i</v>
      </c>
      <c r="R493" s="160">
        <f t="shared" si="288"/>
        <v>8967.5021364747754</v>
      </c>
      <c r="S493" s="160">
        <f t="shared" si="289"/>
        <v>1.5706848130214006</v>
      </c>
      <c r="T493" s="160" t="str">
        <f t="shared" si="281"/>
        <v>1+0.332129706693256i</v>
      </c>
      <c r="U493" s="160">
        <f t="shared" si="290"/>
        <v>1.0537125519173378</v>
      </c>
      <c r="V493" s="160">
        <f t="shared" si="291"/>
        <v>0.32066689954984839</v>
      </c>
      <c r="W493" s="98" t="str">
        <f t="shared" si="282"/>
        <v>1-2.63819341486842i</v>
      </c>
      <c r="X493" s="160">
        <f t="shared" si="292"/>
        <v>2.8213586256013423</v>
      </c>
      <c r="Y493" s="160">
        <f t="shared" si="293"/>
        <v>-1.2084820988223868</v>
      </c>
      <c r="Z493" s="98" t="str">
        <f t="shared" si="283"/>
        <v>-5.38763319816866+5.08882372313601i</v>
      </c>
      <c r="AA493" s="160">
        <f t="shared" si="294"/>
        <v>7.4109863286313589</v>
      </c>
      <c r="AB493" s="160">
        <f t="shared" si="295"/>
        <v>2.3847087569147059</v>
      </c>
      <c r="AC493" s="171" t="str">
        <f t="shared" si="296"/>
        <v>0.000634594360519616+0.00482320082130867i</v>
      </c>
      <c r="AD493" s="190">
        <f t="shared" si="297"/>
        <v>-46.258755772148987</v>
      </c>
      <c r="AE493" s="169">
        <f t="shared" si="298"/>
        <v>82.504578223594734</v>
      </c>
      <c r="AF493" s="98" t="str">
        <f t="shared" si="284"/>
        <v>-0.0000366300366300366</v>
      </c>
      <c r="AG493" s="98" t="str">
        <f t="shared" si="285"/>
        <v>0.243797337891857i</v>
      </c>
      <c r="AH493" s="98">
        <f t="shared" si="299"/>
        <v>0.24379733789185701</v>
      </c>
      <c r="AI493" s="98">
        <f t="shared" si="300"/>
        <v>1.5707963267948966</v>
      </c>
      <c r="AJ493" s="98" t="str">
        <f t="shared" si="286"/>
        <v>1+34.8208758173626i</v>
      </c>
      <c r="AK493" s="98">
        <f t="shared" si="301"/>
        <v>34.835232060202891</v>
      </c>
      <c r="AL493" s="98">
        <f t="shared" si="302"/>
        <v>1.5420858134345345</v>
      </c>
      <c r="AM493" s="98" t="str">
        <f t="shared" si="287"/>
        <v>1+2402.64043139801i</v>
      </c>
      <c r="AN493" s="98">
        <f t="shared" si="303"/>
        <v>2402.6406395023819</v>
      </c>
      <c r="AO493" s="98">
        <f t="shared" si="304"/>
        <v>1.5703801180567147</v>
      </c>
      <c r="AP493" s="168" t="str">
        <f t="shared" si="305"/>
        <v>-0.00029317003637375+0.0103586853241429i</v>
      </c>
      <c r="AQ493" s="98">
        <f t="shared" si="306"/>
        <v>-39.690429909089382</v>
      </c>
      <c r="AR493" s="169">
        <f t="shared" si="307"/>
        <v>91.621144239108432</v>
      </c>
      <c r="AS493" s="168" t="str">
        <f t="shared" si="308"/>
        <v>-0.0000501480636148402+5.15954532887743E-06i</v>
      </c>
      <c r="AT493" s="190">
        <f t="shared" si="309"/>
        <v>-85.949185681238376</v>
      </c>
      <c r="AU493" s="169">
        <f t="shared" si="310"/>
        <v>174.12572246270315</v>
      </c>
      <c r="AV493" s="225"/>
      <c r="AX493">
        <f t="shared" si="311"/>
        <v>0</v>
      </c>
      <c r="AY493">
        <f t="shared" si="312"/>
        <v>0</v>
      </c>
    </row>
    <row r="494" spans="14:51" x14ac:dyDescent="0.3">
      <c r="N494" s="170">
        <v>76</v>
      </c>
      <c r="O494" s="199">
        <f t="shared" si="313"/>
        <v>575439.93733715697</v>
      </c>
      <c r="P494" s="189" t="str">
        <f t="shared" si="279"/>
        <v>108.75</v>
      </c>
      <c r="Q494" s="160" t="str">
        <f t="shared" si="280"/>
        <v>1+9176.38203746168i</v>
      </c>
      <c r="R494" s="160">
        <f t="shared" si="288"/>
        <v>9176.3820919493864</v>
      </c>
      <c r="S494" s="160">
        <f t="shared" si="289"/>
        <v>1.5706873513847668</v>
      </c>
      <c r="T494" s="160" t="str">
        <f t="shared" si="281"/>
        <v>1+0.339866001387471i</v>
      </c>
      <c r="U494" s="160">
        <f t="shared" si="290"/>
        <v>1.0561765472207325</v>
      </c>
      <c r="V494" s="160">
        <f t="shared" si="291"/>
        <v>0.32761838838290208</v>
      </c>
      <c r="W494" s="98" t="str">
        <f t="shared" si="282"/>
        <v>1-2.69964483371608i</v>
      </c>
      <c r="X494" s="160">
        <f t="shared" si="292"/>
        <v>2.8789029556777215</v>
      </c>
      <c r="Y494" s="160">
        <f t="shared" si="293"/>
        <v>-1.2160478270912598</v>
      </c>
      <c r="Z494" s="98" t="str">
        <f t="shared" si="283"/>
        <v>-5.68867307628008+5.20735765483712i</v>
      </c>
      <c r="AA494" s="160">
        <f t="shared" si="294"/>
        <v>7.712170583835956</v>
      </c>
      <c r="AB494" s="160">
        <f t="shared" si="295"/>
        <v>2.4003392559836558</v>
      </c>
      <c r="AC494" s="171" t="str">
        <f t="shared" si="296"/>
        <v>0.000684689161469424+0.00462201179234034i</v>
      </c>
      <c r="AD494" s="190">
        <f t="shared" si="297"/>
        <v>-46.609106099115742</v>
      </c>
      <c r="AE494" s="169">
        <f t="shared" si="298"/>
        <v>81.573677830469961</v>
      </c>
      <c r="AF494" s="98" t="str">
        <f t="shared" si="284"/>
        <v>-0.0000366300366300366</v>
      </c>
      <c r="AG494" s="98" t="str">
        <f t="shared" si="285"/>
        <v>0.24947610740144i</v>
      </c>
      <c r="AH494" s="98">
        <f t="shared" si="299"/>
        <v>0.24947610740143999</v>
      </c>
      <c r="AI494" s="98">
        <f t="shared" si="300"/>
        <v>1.5707963267948966</v>
      </c>
      <c r="AJ494" s="98" t="str">
        <f t="shared" si="286"/>
        <v>1+35.6319582089855i</v>
      </c>
      <c r="AK494" s="98">
        <f t="shared" si="301"/>
        <v>35.645987793956408</v>
      </c>
      <c r="AL494" s="98">
        <f t="shared" si="302"/>
        <v>1.5427389975908674</v>
      </c>
      <c r="AM494" s="98" t="str">
        <f t="shared" si="287"/>
        <v>1+2458.60511641999i</v>
      </c>
      <c r="AN494" s="98">
        <f t="shared" si="303"/>
        <v>2458.6053197873284</v>
      </c>
      <c r="AO494" s="98">
        <f t="shared" si="304"/>
        <v>1.5703895921232012</v>
      </c>
      <c r="AP494" s="168" t="str">
        <f t="shared" si="305"/>
        <v>-0.00027998559560267+0.0101232628762156i</v>
      </c>
      <c r="AQ494" s="98">
        <f t="shared" si="306"/>
        <v>-39.89026886391828</v>
      </c>
      <c r="AR494" s="169">
        <f t="shared" si="307"/>
        <v>91.584262367730233</v>
      </c>
      <c r="AS494" s="168" t="str">
        <f t="shared" si="308"/>
        <v>-0.0000469815434935064+5.63719164548963E-06i</v>
      </c>
      <c r="AT494" s="190">
        <f t="shared" si="309"/>
        <v>-86.499374963034015</v>
      </c>
      <c r="AU494" s="169">
        <f t="shared" si="310"/>
        <v>173.15794019820021</v>
      </c>
      <c r="AV494" s="225"/>
      <c r="AX494">
        <f t="shared" si="311"/>
        <v>0</v>
      </c>
      <c r="AY494">
        <f t="shared" si="312"/>
        <v>0</v>
      </c>
    </row>
    <row r="495" spans="14:51" x14ac:dyDescent="0.3">
      <c r="N495" s="170">
        <v>77</v>
      </c>
      <c r="O495" s="199">
        <f t="shared" si="313"/>
        <v>588843.65535558888</v>
      </c>
      <c r="P495" s="189" t="str">
        <f t="shared" si="279"/>
        <v>108.75</v>
      </c>
      <c r="Q495" s="160" t="str">
        <f t="shared" si="280"/>
        <v>1+9390.12743342553i</v>
      </c>
      <c r="R495" s="160">
        <f t="shared" si="288"/>
        <v>9390.1274866729436</v>
      </c>
      <c r="S495" s="160">
        <f t="shared" si="289"/>
        <v>1.5706898319679297</v>
      </c>
      <c r="T495" s="160" t="str">
        <f t="shared" si="281"/>
        <v>1+0.34778249753428i</v>
      </c>
      <c r="U495" s="160">
        <f t="shared" si="290"/>
        <v>1.0587505209402173</v>
      </c>
      <c r="V495" s="160">
        <f t="shared" si="291"/>
        <v>0.33469795179196843</v>
      </c>
      <c r="W495" s="98" t="str">
        <f t="shared" si="282"/>
        <v>1-2.76252763998861i</v>
      </c>
      <c r="X495" s="160">
        <f t="shared" si="292"/>
        <v>2.9379514906990956</v>
      </c>
      <c r="Y495" s="160">
        <f t="shared" si="293"/>
        <v>-1.2234825411370507</v>
      </c>
      <c r="Z495" s="98" t="str">
        <f t="shared" si="283"/>
        <v>-6.00390052675229+5.32865259649437i</v>
      </c>
      <c r="AA495" s="160">
        <f t="shared" si="294"/>
        <v>8.027537606842003</v>
      </c>
      <c r="AB495" s="160">
        <f t="shared" si="295"/>
        <v>2.415708926089434</v>
      </c>
      <c r="AC495" s="171" t="str">
        <f t="shared" si="296"/>
        <v>0.000727332648892282+0.00442826138988915i</v>
      </c>
      <c r="AD495" s="190">
        <f t="shared" si="297"/>
        <v>-46.959726279217435</v>
      </c>
      <c r="AE495" s="169">
        <f t="shared" si="298"/>
        <v>80.672569841378916</v>
      </c>
      <c r="AF495" s="98" t="str">
        <f t="shared" si="284"/>
        <v>-0.0000366300366300366</v>
      </c>
      <c r="AG495" s="98" t="str">
        <f t="shared" si="285"/>
        <v>0.255287152445375i</v>
      </c>
      <c r="AH495" s="98">
        <f t="shared" si="299"/>
        <v>0.25528715244537498</v>
      </c>
      <c r="AI495" s="98">
        <f t="shared" si="300"/>
        <v>1.5707963267948966</v>
      </c>
      <c r="AJ495" s="98" t="str">
        <f t="shared" si="286"/>
        <v>1+36.4619331364955i</v>
      </c>
      <c r="AK495" s="98">
        <f t="shared" si="301"/>
        <v>36.475643490557758</v>
      </c>
      <c r="AL495" s="98">
        <f t="shared" si="302"/>
        <v>1.5433773366016079</v>
      </c>
      <c r="AM495" s="98" t="str">
        <f t="shared" si="287"/>
        <v>1+2515.87338641818i</v>
      </c>
      <c r="AN495" s="98">
        <f t="shared" si="303"/>
        <v>2515.8735851563129</v>
      </c>
      <c r="AO495" s="98">
        <f t="shared" si="304"/>
        <v>1.5703988505336761</v>
      </c>
      <c r="AP495" s="168" t="str">
        <f t="shared" si="305"/>
        <v>-0.000267393639385625+0.00989317462543003i</v>
      </c>
      <c r="AQ495" s="98">
        <f t="shared" si="306"/>
        <v>-40.090115061396638</v>
      </c>
      <c r="AR495" s="169">
        <f t="shared" si="307"/>
        <v>91.54821870436146</v>
      </c>
      <c r="AS495" s="168" t="str">
        <f t="shared" si="308"/>
        <v>-0.0000440040473412541+6.01153997707463E-06i</v>
      </c>
      <c r="AT495" s="190">
        <f t="shared" si="309"/>
        <v>-87.049841340614066</v>
      </c>
      <c r="AU495" s="169">
        <f t="shared" si="310"/>
        <v>172.22078854574036</v>
      </c>
      <c r="AV495" s="225"/>
      <c r="AX495">
        <f t="shared" si="311"/>
        <v>0</v>
      </c>
      <c r="AY495">
        <f t="shared" si="312"/>
        <v>0</v>
      </c>
    </row>
    <row r="496" spans="14:51" x14ac:dyDescent="0.3">
      <c r="N496" s="170">
        <v>78</v>
      </c>
      <c r="O496" s="199">
        <f t="shared" si="313"/>
        <v>602559.58607435878</v>
      </c>
      <c r="P496" s="189" t="str">
        <f t="shared" si="279"/>
        <v>108.75</v>
      </c>
      <c r="Q496" s="160" t="str">
        <f t="shared" si="280"/>
        <v>1+9608.8515992476i</v>
      </c>
      <c r="R496" s="160">
        <f t="shared" si="288"/>
        <v>9608.8516512829538</v>
      </c>
      <c r="S496" s="160">
        <f t="shared" si="289"/>
        <v>1.5706922560861276</v>
      </c>
      <c r="T496" s="160" t="str">
        <f t="shared" si="281"/>
        <v>1+0.355883392564727i</v>
      </c>
      <c r="U496" s="160">
        <f t="shared" si="290"/>
        <v>1.061439112292071</v>
      </c>
      <c r="V496" s="160">
        <f t="shared" si="291"/>
        <v>0.34190650390220989</v>
      </c>
      <c r="W496" s="98" t="str">
        <f t="shared" si="282"/>
        <v>1-2.82687517498223i</v>
      </c>
      <c r="X496" s="160">
        <f t="shared" si="292"/>
        <v>2.9985368523549636</v>
      </c>
      <c r="Y496" s="160">
        <f t="shared" si="293"/>
        <v>-1.2307868943350471</v>
      </c>
      <c r="Z496" s="98" t="str">
        <f t="shared" si="283"/>
        <v>-6.33398418927103+5.45277286029133i</v>
      </c>
      <c r="AA496" s="160">
        <f t="shared" si="294"/>
        <v>8.3577561328304562</v>
      </c>
      <c r="AB496" s="160">
        <f t="shared" si="295"/>
        <v>2.430818491656757</v>
      </c>
      <c r="AC496" s="171" t="str">
        <f t="shared" si="296"/>
        <v>0.000763136067029407+0.0042418534131084i</v>
      </c>
      <c r="AD496" s="190">
        <f t="shared" si="297"/>
        <v>-47.310548807804068</v>
      </c>
      <c r="AE496" s="169">
        <f t="shared" si="298"/>
        <v>79.801227614352158</v>
      </c>
      <c r="AF496" s="98" t="str">
        <f t="shared" si="284"/>
        <v>-0.0000366300366300366</v>
      </c>
      <c r="AG496" s="98" t="str">
        <f t="shared" si="285"/>
        <v>0.261233554116661i</v>
      </c>
      <c r="AH496" s="98">
        <f t="shared" si="299"/>
        <v>0.26123355411666099</v>
      </c>
      <c r="AI496" s="98">
        <f t="shared" si="300"/>
        <v>1.5707963267948966</v>
      </c>
      <c r="AJ496" s="98" t="str">
        <f t="shared" si="286"/>
        <v>1+37.3112406635853i</v>
      </c>
      <c r="AK496" s="98">
        <f t="shared" si="301"/>
        <v>37.324639045220266</v>
      </c>
      <c r="AL496" s="98">
        <f t="shared" si="302"/>
        <v>1.5440011668404912</v>
      </c>
      <c r="AM496" s="98" t="str">
        <f t="shared" si="287"/>
        <v>1+2574.47560578738i</v>
      </c>
      <c r="AN496" s="98">
        <f t="shared" si="303"/>
        <v>2574.4758000016818</v>
      </c>
      <c r="AO496" s="98">
        <f t="shared" si="304"/>
        <v>1.5704078981970651</v>
      </c>
      <c r="AP496" s="168" t="str">
        <f t="shared" si="305"/>
        <v>-0.000255367581773192+0.00966830079466604i</v>
      </c>
      <c r="AQ496" s="98">
        <f t="shared" si="306"/>
        <v>-40.289968176041754</v>
      </c>
      <c r="AR496" s="169">
        <f t="shared" si="307"/>
        <v>91.512994257467454</v>
      </c>
      <c r="AS496" s="168" t="str">
        <f t="shared" si="308"/>
        <v>-0.000041206394936814+6.29499719495688E-06i</v>
      </c>
      <c r="AT496" s="190">
        <f t="shared" si="309"/>
        <v>-87.600516983845836</v>
      </c>
      <c r="AU496" s="169">
        <f t="shared" si="310"/>
        <v>171.3142218718196</v>
      </c>
      <c r="AV496" s="225"/>
      <c r="AX496">
        <f t="shared" si="311"/>
        <v>0</v>
      </c>
      <c r="AY496">
        <f t="shared" si="312"/>
        <v>0</v>
      </c>
    </row>
    <row r="497" spans="14:51" x14ac:dyDescent="0.3">
      <c r="N497" s="170">
        <v>79</v>
      </c>
      <c r="O497" s="199">
        <f t="shared" si="313"/>
        <v>616595.00186148309</v>
      </c>
      <c r="P497" s="189" t="str">
        <f t="shared" si="279"/>
        <v>108.75</v>
      </c>
      <c r="Q497" s="160" t="str">
        <f t="shared" si="280"/>
        <v>1+9832.6705053758i</v>
      </c>
      <c r="R497" s="160">
        <f t="shared" si="288"/>
        <v>9832.6705562266834</v>
      </c>
      <c r="S497" s="160">
        <f t="shared" si="289"/>
        <v>1.5706946250246598</v>
      </c>
      <c r="T497" s="160" t="str">
        <f t="shared" si="281"/>
        <v>1+0.364172981680586i</v>
      </c>
      <c r="U497" s="160">
        <f t="shared" si="290"/>
        <v>1.0642471332289922</v>
      </c>
      <c r="V497" s="160">
        <f t="shared" si="291"/>
        <v>0.34924486920403691</v>
      </c>
      <c r="W497" s="98" t="str">
        <f t="shared" si="282"/>
        <v>1-2.89272155661175i</v>
      </c>
      <c r="X497" s="160">
        <f t="shared" si="292"/>
        <v>3.060692405990237</v>
      </c>
      <c r="Y497" s="160">
        <f t="shared" si="293"/>
        <v>-1.237961640884218</v>
      </c>
      <c r="Z497" s="98" t="str">
        <f t="shared" si="283"/>
        <v>-6.67962421553966+5.57978425643481i</v>
      </c>
      <c r="AA497" s="160">
        <f t="shared" si="294"/>
        <v>8.7035264122757496</v>
      </c>
      <c r="AB497" s="160">
        <f t="shared" si="295"/>
        <v>2.4456689055654657</v>
      </c>
      <c r="AC497" s="171" t="str">
        <f t="shared" si="296"/>
        <v>0.000792676471433976+0.00406267088131578i</v>
      </c>
      <c r="AD497" s="190">
        <f t="shared" si="297"/>
        <v>-47.661505987124031</v>
      </c>
      <c r="AE497" s="169">
        <f t="shared" si="298"/>
        <v>78.959600507157333</v>
      </c>
      <c r="AF497" s="98" t="str">
        <f t="shared" si="284"/>
        <v>-0.0000366300366300366</v>
      </c>
      <c r="AG497" s="98" t="str">
        <f t="shared" si="285"/>
        <v>0.267318465276174i</v>
      </c>
      <c r="AH497" s="98">
        <f t="shared" si="299"/>
        <v>0.26731846527617398</v>
      </c>
      <c r="AI497" s="98">
        <f t="shared" si="300"/>
        <v>1.5707963267948966</v>
      </c>
      <c r="AJ497" s="98" t="str">
        <f t="shared" si="286"/>
        <v>1+38.1803311043476i</v>
      </c>
      <c r="AK497" s="98">
        <f t="shared" si="301"/>
        <v>38.19342460735372</v>
      </c>
      <c r="AL497" s="98">
        <f t="shared" si="302"/>
        <v>1.5446108171272763</v>
      </c>
      <c r="AM497" s="98" t="str">
        <f t="shared" si="287"/>
        <v>1+2634.44284619997i</v>
      </c>
      <c r="AN497" s="98">
        <f t="shared" si="303"/>
        <v>2634.4430359934145</v>
      </c>
      <c r="AO497" s="98">
        <f t="shared" si="304"/>
        <v>1.5704167399105526</v>
      </c>
      <c r="AP497" s="168" t="str">
        <f t="shared" si="305"/>
        <v>-0.00024388202633122+0.00944852422382684i</v>
      </c>
      <c r="AQ497" s="98">
        <f t="shared" si="306"/>
        <v>-40.489827896977303</v>
      </c>
      <c r="AR497" s="169">
        <f t="shared" si="307"/>
        <v>91.478570461922217</v>
      </c>
      <c r="AS497" s="168" t="str">
        <f t="shared" si="308"/>
        <v>-0.0000385795637796265+6.49881043514937E-06i</v>
      </c>
      <c r="AT497" s="190">
        <f t="shared" si="309"/>
        <v>-88.151333884101319</v>
      </c>
      <c r="AU497" s="169">
        <f t="shared" si="310"/>
        <v>170.43817096907958</v>
      </c>
      <c r="AV497" s="225"/>
      <c r="AX497">
        <f t="shared" si="311"/>
        <v>0</v>
      </c>
      <c r="AY497">
        <f t="shared" si="312"/>
        <v>0</v>
      </c>
    </row>
    <row r="498" spans="14:51" x14ac:dyDescent="0.3">
      <c r="N498" s="170">
        <v>80</v>
      </c>
      <c r="O498" s="199">
        <f t="shared" si="313"/>
        <v>630957.34448019415</v>
      </c>
      <c r="P498" s="189" t="str">
        <f t="shared" si="279"/>
        <v>108.75</v>
      </c>
      <c r="Q498" s="160" t="str">
        <f t="shared" si="280"/>
        <v>1+10061.7028235567i</v>
      </c>
      <c r="R498" s="160">
        <f t="shared" si="288"/>
        <v>10061.702873250077</v>
      </c>
      <c r="S498" s="160">
        <f t="shared" si="289"/>
        <v>1.5706969400395687</v>
      </c>
      <c r="T498" s="160" t="str">
        <f t="shared" si="281"/>
        <v>1+0.372655660131731i</v>
      </c>
      <c r="U498" s="160">
        <f t="shared" si="290"/>
        <v>1.0671795729998848</v>
      </c>
      <c r="V498" s="160">
        <f t="shared" si="291"/>
        <v>0.35671377616937278</v>
      </c>
      <c r="W498" s="98" t="str">
        <f t="shared" si="282"/>
        <v>1-2.96010169750028i</v>
      </c>
      <c r="X498" s="160">
        <f t="shared" si="292"/>
        <v>3.1244522815277627</v>
      </c>
      <c r="Y498" s="160">
        <f t="shared" si="293"/>
        <v>-1.2450076293189258</v>
      </c>
      <c r="Z498" s="98" t="str">
        <f t="shared" si="283"/>
        <v>-7.04155375439454+5.70975412804821i</v>
      </c>
      <c r="AA498" s="160">
        <f t="shared" si="294"/>
        <v>9.065581695555526</v>
      </c>
      <c r="AB498" s="160">
        <f t="shared" si="295"/>
        <v>2.4602613363393404</v>
      </c>
      <c r="AC498" s="171" t="str">
        <f t="shared" si="296"/>
        <v>0.000816497366898009+0.00389057882659084i</v>
      </c>
      <c r="AD498" s="190">
        <f t="shared" si="297"/>
        <v>-48.012529971170778</v>
      </c>
      <c r="AE498" s="169">
        <f t="shared" si="298"/>
        <v>78.147614617276531</v>
      </c>
      <c r="AF498" s="98" t="str">
        <f t="shared" si="284"/>
        <v>-0.0000366300366300366</v>
      </c>
      <c r="AG498" s="98" t="str">
        <f t="shared" si="285"/>
        <v>0.273545112224355i</v>
      </c>
      <c r="AH498" s="98">
        <f t="shared" si="299"/>
        <v>0.27354511222435501</v>
      </c>
      <c r="AI498" s="98">
        <f t="shared" si="300"/>
        <v>1.5707963267948966</v>
      </c>
      <c r="AJ498" s="98" t="str">
        <f t="shared" si="286"/>
        <v>1+39.0696652620377i</v>
      </c>
      <c r="AK498" s="98">
        <f t="shared" si="301"/>
        <v>39.082460819243146</v>
      </c>
      <c r="AL498" s="98">
        <f t="shared" si="302"/>
        <v>1.5452066088928502</v>
      </c>
      <c r="AM498" s="98" t="str">
        <f t="shared" si="287"/>
        <v>1+2695.8069030806i</v>
      </c>
      <c r="AN498" s="98">
        <f t="shared" si="303"/>
        <v>2695.8070885538182</v>
      </c>
      <c r="AO498" s="98">
        <f t="shared" si="304"/>
        <v>1.5704253803621273</v>
      </c>
      <c r="AP498" s="168" t="str">
        <f t="shared" si="305"/>
        <v>-0.000232912713222656+0.00923373031754131i</v>
      </c>
      <c r="AQ498" s="98">
        <f t="shared" si="306"/>
        <v>-40.689693927278967</v>
      </c>
      <c r="AR498" s="169">
        <f t="shared" si="307"/>
        <v>91.444929169694504</v>
      </c>
      <c r="AS498" s="168" t="str">
        <f t="shared" si="308"/>
        <v>-0.0000361147282809395+6.63315122041091E-06i</v>
      </c>
      <c r="AT498" s="190">
        <f t="shared" si="309"/>
        <v>-88.702223898449745</v>
      </c>
      <c r="AU498" s="169">
        <f t="shared" si="310"/>
        <v>169.59254378697102</v>
      </c>
      <c r="AV498" s="225"/>
      <c r="AX498">
        <f t="shared" si="311"/>
        <v>0</v>
      </c>
      <c r="AY498">
        <f t="shared" si="312"/>
        <v>0</v>
      </c>
    </row>
    <row r="499" spans="14:51" x14ac:dyDescent="0.3">
      <c r="N499" s="170">
        <v>81</v>
      </c>
      <c r="O499" s="199">
        <f t="shared" si="313"/>
        <v>645654.22903465747</v>
      </c>
      <c r="P499" s="189" t="str">
        <f t="shared" si="279"/>
        <v>108.75</v>
      </c>
      <c r="Q499" s="160" t="str">
        <f t="shared" si="280"/>
        <v>1+10296.0699897571i</v>
      </c>
      <c r="R499" s="160">
        <f t="shared" si="288"/>
        <v>10296.070038319316</v>
      </c>
      <c r="S499" s="160">
        <f t="shared" si="289"/>
        <v>1.5706992023583057</v>
      </c>
      <c r="T499" s="160" t="str">
        <f t="shared" si="281"/>
        <v>1+0.381335925546559i</v>
      </c>
      <c r="U499" s="160">
        <f t="shared" si="290"/>
        <v>1.0702416026825208</v>
      </c>
      <c r="V499" s="160">
        <f t="shared" si="291"/>
        <v>0.36431385072872413</v>
      </c>
      <c r="W499" s="98" t="str">
        <f t="shared" si="282"/>
        <v>1-3.0290513234904i</v>
      </c>
      <c r="X499" s="160">
        <f t="shared" si="292"/>
        <v>3.18985139471088</v>
      </c>
      <c r="Y499" s="160">
        <f t="shared" si="293"/>
        <v>-1.2519257961644203</v>
      </c>
      <c r="Z499" s="98" t="str">
        <f t="shared" si="283"/>
        <v>-7.42054050691247+5.84275138687785i</v>
      </c>
      <c r="AA499" s="160">
        <f t="shared" si="294"/>
        <v>9.444689787578616</v>
      </c>
      <c r="AB499" s="160">
        <f t="shared" si="295"/>
        <v>2.4745971554813853</v>
      </c>
      <c r="AC499" s="171" t="str">
        <f t="shared" si="296"/>
        <v>0.000835109489511897+0.00372542689882995i</v>
      </c>
      <c r="AD499" s="190">
        <f t="shared" si="297"/>
        <v>-48.363552809949567</v>
      </c>
      <c r="AE499" s="169">
        <f t="shared" si="298"/>
        <v>77.36517349728031</v>
      </c>
      <c r="AF499" s="98" t="str">
        <f t="shared" si="284"/>
        <v>-0.0000366300366300366</v>
      </c>
      <c r="AG499" s="98" t="str">
        <f t="shared" si="285"/>
        <v>0.279916796411836i</v>
      </c>
      <c r="AH499" s="98">
        <f t="shared" si="299"/>
        <v>0.27991679641183598</v>
      </c>
      <c r="AI499" s="98">
        <f t="shared" si="300"/>
        <v>1.5707963267948966</v>
      </c>
      <c r="AJ499" s="98" t="str">
        <f t="shared" si="286"/>
        <v>1+39.9797146733981i</v>
      </c>
      <c r="AK499" s="98">
        <f t="shared" si="301"/>
        <v>39.992219060291262</v>
      </c>
      <c r="AL499" s="98">
        <f t="shared" si="302"/>
        <v>1.5457888563410294</v>
      </c>
      <c r="AM499" s="98" t="str">
        <f t="shared" si="287"/>
        <v>1+2758.60031246446i</v>
      </c>
      <c r="AN499" s="98">
        <f t="shared" si="303"/>
        <v>2758.6004937157927</v>
      </c>
      <c r="AO499" s="98">
        <f t="shared" si="304"/>
        <v>1.5704338241330653</v>
      </c>
      <c r="AP499" s="168" t="str">
        <f t="shared" si="305"/>
        <v>-0.000222436468616768+0.00902380699357322i</v>
      </c>
      <c r="AQ499" s="98">
        <f t="shared" si="306"/>
        <v>-40.889565983350877</v>
      </c>
      <c r="AR499" s="169">
        <f t="shared" si="307"/>
        <v>91.412052640719494</v>
      </c>
      <c r="AS499" s="168" t="str">
        <f t="shared" si="308"/>
        <v>-0.0000338032921094629+6.70719604839117E-06i</v>
      </c>
      <c r="AT499" s="190">
        <f t="shared" si="309"/>
        <v>-89.253118793300416</v>
      </c>
      <c r="AU499" s="169">
        <f t="shared" si="310"/>
        <v>168.77722613799983</v>
      </c>
      <c r="AV499" s="225"/>
      <c r="AX499">
        <f t="shared" si="311"/>
        <v>0</v>
      </c>
      <c r="AY499">
        <f t="shared" si="312"/>
        <v>0</v>
      </c>
    </row>
    <row r="500" spans="14:51" x14ac:dyDescent="0.3">
      <c r="N500" s="170">
        <v>82</v>
      </c>
      <c r="O500" s="199">
        <f t="shared" si="313"/>
        <v>660693.44800759677</v>
      </c>
      <c r="P500" s="189" t="str">
        <f t="shared" si="279"/>
        <v>108.75</v>
      </c>
      <c r="Q500" s="160" t="str">
        <f t="shared" si="280"/>
        <v>1+10535.8962685506i</v>
      </c>
      <c r="R500" s="160">
        <f t="shared" si="288"/>
        <v>10535.896316007407</v>
      </c>
      <c r="S500" s="160">
        <f t="shared" si="289"/>
        <v>1.5707014131803823</v>
      </c>
      <c r="T500" s="160" t="str">
        <f t="shared" si="281"/>
        <v>1+0.390218380316689i</v>
      </c>
      <c r="U500" s="160">
        <f t="shared" si="290"/>
        <v>1.0734385796760708</v>
      </c>
      <c r="V500" s="160">
        <f t="shared" si="291"/>
        <v>0.37204560962813976</v>
      </c>
      <c r="W500" s="98" t="str">
        <f t="shared" si="282"/>
        <v>1-3.09960699258647i</v>
      </c>
      <c r="X500" s="160">
        <f t="shared" si="292"/>
        <v>3.2569254686730154</v>
      </c>
      <c r="Y500" s="160">
        <f t="shared" si="293"/>
        <v>-1.2587171597519948</v>
      </c>
      <c r="Z500" s="98" t="str">
        <f t="shared" si="283"/>
        <v>-7.81738835480699+5.97884654983076i</v>
      </c>
      <c r="AA500" s="160">
        <f t="shared" si="294"/>
        <v>9.8416546757288277</v>
      </c>
      <c r="AB500" s="160">
        <f t="shared" si="295"/>
        <v>2.4886779249994051</v>
      </c>
      <c r="AC500" s="171" t="str">
        <f t="shared" si="296"/>
        <v>0.000848991710262418+0.0035670517834142i</v>
      </c>
      <c r="AD500" s="190">
        <f t="shared" si="297"/>
        <v>-48.714506493514456</v>
      </c>
      <c r="AE500" s="169">
        <f t="shared" si="298"/>
        <v>76.612158843269526</v>
      </c>
      <c r="AF500" s="98" t="str">
        <f t="shared" si="284"/>
        <v>-0.0000366300366300366</v>
      </c>
      <c r="AG500" s="98" t="str">
        <f t="shared" si="285"/>
        <v>0.286436896189909i</v>
      </c>
      <c r="AH500" s="98">
        <f t="shared" si="299"/>
        <v>0.28643689618990897</v>
      </c>
      <c r="AI500" s="98">
        <f t="shared" si="300"/>
        <v>1.5707963267948966</v>
      </c>
      <c r="AJ500" s="98" t="str">
        <f t="shared" si="286"/>
        <v>1+40.9109618586723i</v>
      </c>
      <c r="AK500" s="98">
        <f t="shared" si="301"/>
        <v>40.923181696951907</v>
      </c>
      <c r="AL500" s="98">
        <f t="shared" si="302"/>
        <v>1.5463578666071014</v>
      </c>
      <c r="AM500" s="98" t="str">
        <f t="shared" si="287"/>
        <v>1+2822.85636824838i</v>
      </c>
      <c r="AN500" s="98">
        <f t="shared" si="303"/>
        <v>2822.8565453739293</v>
      </c>
      <c r="AO500" s="98">
        <f t="shared" si="304"/>
        <v>1.570442075700361</v>
      </c>
      <c r="AP500" s="168" t="str">
        <f t="shared" si="305"/>
        <v>-0.000212431156325901+0.00881864463195673i</v>
      </c>
      <c r="AQ500" s="98">
        <f t="shared" si="306"/>
        <v>-41.08944379432775</v>
      </c>
      <c r="AR500" s="169">
        <f t="shared" si="307"/>
        <v>91.379923533954383</v>
      </c>
      <c r="AS500" s="168" t="str">
        <f t="shared" si="308"/>
        <v>-0.0000316369143524395+6.72920325325639E-06i</v>
      </c>
      <c r="AT500" s="190">
        <f t="shared" si="309"/>
        <v>-89.803950287842213</v>
      </c>
      <c r="AU500" s="169">
        <f t="shared" si="310"/>
        <v>167.99208237722391</v>
      </c>
      <c r="AV500" s="225"/>
      <c r="AX500">
        <f t="shared" si="311"/>
        <v>0</v>
      </c>
      <c r="AY500">
        <f t="shared" si="312"/>
        <v>0</v>
      </c>
    </row>
    <row r="501" spans="14:51" x14ac:dyDescent="0.3">
      <c r="N501" s="170">
        <v>83</v>
      </c>
      <c r="O501" s="199">
        <f t="shared" si="313"/>
        <v>676082.97539198259</v>
      </c>
      <c r="P501" s="189" t="str">
        <f t="shared" si="279"/>
        <v>108.75</v>
      </c>
      <c r="Q501" s="160" t="str">
        <f t="shared" si="280"/>
        <v>1+10781.3088190047i</v>
      </c>
      <c r="R501" s="160">
        <f t="shared" si="288"/>
        <v>10781.308865381257</v>
      </c>
      <c r="S501" s="160">
        <f t="shared" si="289"/>
        <v>1.5707035736780051</v>
      </c>
      <c r="T501" s="160" t="str">
        <f t="shared" si="281"/>
        <v>1+0.399307734037214i</v>
      </c>
      <c r="U501" s="160">
        <f t="shared" si="290"/>
        <v>1.0767760521398748</v>
      </c>
      <c r="V501" s="160">
        <f t="shared" si="291"/>
        <v>0.37990945368782048</v>
      </c>
      <c r="W501" s="98" t="str">
        <f t="shared" si="282"/>
        <v>1-3.17180611433816i</v>
      </c>
      <c r="X501" s="160">
        <f t="shared" si="292"/>
        <v>3.3257110558424854</v>
      </c>
      <c r="Y501" s="160">
        <f t="shared" si="293"/>
        <v>-1.2653828142073411</v>
      </c>
      <c r="Z501" s="98" t="str">
        <f t="shared" si="283"/>
        <v>-8.23293906556998+6.11811177636378i</v>
      </c>
      <c r="AA501" s="160">
        <f t="shared" si="294"/>
        <v>10.257318234581078</v>
      </c>
      <c r="AB501" s="160">
        <f t="shared" si="295"/>
        <v>2.502505385161069</v>
      </c>
      <c r="AC501" s="171" t="str">
        <f t="shared" si="296"/>
        <v>0.000858592039073989+0.00341527943355347i</v>
      </c>
      <c r="AD501" s="190">
        <f t="shared" si="297"/>
        <v>-49.065322996139109</v>
      </c>
      <c r="AE501" s="169">
        <f t="shared" si="298"/>
        <v>75.888431154610203</v>
      </c>
      <c r="AF501" s="98" t="str">
        <f t="shared" si="284"/>
        <v>-0.0000366300366300366</v>
      </c>
      <c r="AG501" s="98" t="str">
        <f t="shared" si="285"/>
        <v>0.293108868601784i</v>
      </c>
      <c r="AH501" s="98">
        <f t="shared" si="299"/>
        <v>0.29310886860178398</v>
      </c>
      <c r="AI501" s="98">
        <f t="shared" si="300"/>
        <v>1.5707963267948966</v>
      </c>
      <c r="AJ501" s="98" t="str">
        <f t="shared" si="286"/>
        <v>1+41.8639005774445i</v>
      </c>
      <c r="AK501" s="98">
        <f t="shared" si="301"/>
        <v>41.875842338491026</v>
      </c>
      <c r="AL501" s="98">
        <f t="shared" si="302"/>
        <v>1.5469139399131568</v>
      </c>
      <c r="AM501" s="98" t="str">
        <f t="shared" si="287"/>
        <v>1+2888.60913984366i</v>
      </c>
      <c r="AN501" s="98">
        <f t="shared" si="303"/>
        <v>2888.6093129373394</v>
      </c>
      <c r="AO501" s="98">
        <f t="shared" si="304"/>
        <v>1.5704501394391004</v>
      </c>
      <c r="AP501" s="168" t="str">
        <f t="shared" si="305"/>
        <v>-0.000202875631573662+0.00861813602486681i</v>
      </c>
      <c r="AQ501" s="98">
        <f t="shared" si="306"/>
        <v>-41.289327101506103</v>
      </c>
      <c r="AR501" s="169">
        <f t="shared" si="307"/>
        <v>91.348524898614357</v>
      </c>
      <c r="AS501" s="168" t="str">
        <f t="shared" si="308"/>
        <v>-0.0000296075301234851+0.0000067065860105247i</v>
      </c>
      <c r="AT501" s="190">
        <f t="shared" si="309"/>
        <v>-90.354650097645219</v>
      </c>
      <c r="AU501" s="169">
        <f t="shared" si="310"/>
        <v>167.23695605322456</v>
      </c>
      <c r="AV501" s="225"/>
      <c r="AX501">
        <f t="shared" si="311"/>
        <v>0</v>
      </c>
      <c r="AY501">
        <f t="shared" si="312"/>
        <v>0</v>
      </c>
    </row>
    <row r="502" spans="14:51" x14ac:dyDescent="0.3">
      <c r="N502" s="170">
        <v>84</v>
      </c>
      <c r="O502" s="199">
        <f t="shared" si="313"/>
        <v>691830.97091893724</v>
      </c>
      <c r="P502" s="189" t="str">
        <f t="shared" si="279"/>
        <v>108.75</v>
      </c>
      <c r="Q502" s="160" t="str">
        <f t="shared" si="280"/>
        <v>1+11032.4377621022i</v>
      </c>
      <c r="R502" s="160">
        <f t="shared" si="288"/>
        <v>11032.437807423097</v>
      </c>
      <c r="S502" s="160">
        <f t="shared" si="289"/>
        <v>1.5707056849966989</v>
      </c>
      <c r="T502" s="160" t="str">
        <f t="shared" si="281"/>
        <v>1+0.408608806003788i</v>
      </c>
      <c r="U502" s="160">
        <f t="shared" si="290"/>
        <v>1.0802597633642759</v>
      </c>
      <c r="V502" s="160">
        <f t="shared" si="291"/>
        <v>0.38790566098688589</v>
      </c>
      <c r="W502" s="98" t="str">
        <f t="shared" si="282"/>
        <v>1-3.24568696967548i</v>
      </c>
      <c r="X502" s="160">
        <f t="shared" si="292"/>
        <v>3.3962455601916068</v>
      </c>
      <c r="Y502" s="160">
        <f t="shared" si="293"/>
        <v>-1.2719239236233872</v>
      </c>
      <c r="Z502" s="98" t="str">
        <f t="shared" si="283"/>
        <v>-8.66807407797272+6.26062090674341i</v>
      </c>
      <c r="AA502" s="160">
        <f t="shared" si="294"/>
        <v>10.692562011004441</v>
      </c>
      <c r="AB502" s="160">
        <f t="shared" si="295"/>
        <v>2.5160814425126974</v>
      </c>
      <c r="AC502" s="171" t="str">
        <f t="shared" si="296"/>
        <v>0.000864328709766509+0.00326992712100404i</v>
      </c>
      <c r="AD502" s="190">
        <f t="shared" si="297"/>
        <v>-49.415934320981087</v>
      </c>
      <c r="AE502" s="169">
        <f t="shared" si="298"/>
        <v>75.193830363759517</v>
      </c>
      <c r="AF502" s="98" t="str">
        <f t="shared" si="284"/>
        <v>-0.0000366300366300366</v>
      </c>
      <c r="AG502" s="98" t="str">
        <f t="shared" si="285"/>
        <v>0.299936251215546i</v>
      </c>
      <c r="AH502" s="98">
        <f t="shared" si="299"/>
        <v>0.29993625121554601</v>
      </c>
      <c r="AI502" s="98">
        <f t="shared" si="300"/>
        <v>1.5707963267948966</v>
      </c>
      <c r="AJ502" s="98" t="str">
        <f t="shared" si="286"/>
        <v>1+42.8390360904372i</v>
      </c>
      <c r="AK502" s="98">
        <f t="shared" si="301"/>
        <v>42.850706098707178</v>
      </c>
      <c r="AL502" s="98">
        <f t="shared" si="302"/>
        <v>1.5474573697202545</v>
      </c>
      <c r="AM502" s="98" t="str">
        <f t="shared" si="287"/>
        <v>1+2955.89349024016i</v>
      </c>
      <c r="AN502" s="98">
        <f t="shared" si="303"/>
        <v>2955.8936593937469</v>
      </c>
      <c r="AO502" s="98">
        <f t="shared" si="304"/>
        <v>1.5704580196247799</v>
      </c>
      <c r="AP502" s="168" t="str">
        <f t="shared" si="305"/>
        <v>-0.000193749696802762+0.00842217632724065i</v>
      </c>
      <c r="AQ502" s="98">
        <f t="shared" si="306"/>
        <v>-41.489215657798262</v>
      </c>
      <c r="AR502" s="169">
        <f t="shared" si="307"/>
        <v>91.317840165587285</v>
      </c>
      <c r="AS502" s="168" t="str">
        <f t="shared" si="308"/>
        <v>-0.0000277073662157776+6.64598141008828E-06i</v>
      </c>
      <c r="AT502" s="190">
        <f t="shared" si="309"/>
        <v>-90.905149978779335</v>
      </c>
      <c r="AU502" s="169">
        <f t="shared" si="310"/>
        <v>166.51167052934682</v>
      </c>
      <c r="AV502" s="225"/>
      <c r="AX502">
        <f t="shared" si="311"/>
        <v>0</v>
      </c>
      <c r="AY502">
        <f t="shared" si="312"/>
        <v>0</v>
      </c>
    </row>
    <row r="503" spans="14:51" x14ac:dyDescent="0.3">
      <c r="N503" s="170">
        <v>85</v>
      </c>
      <c r="O503" s="199">
        <f t="shared" si="313"/>
        <v>707945.78438413853</v>
      </c>
      <c r="P503" s="189" t="str">
        <f t="shared" si="279"/>
        <v>108.75</v>
      </c>
      <c r="Q503" s="160" t="str">
        <f t="shared" si="280"/>
        <v>1+11289.4162497328i</v>
      </c>
      <c r="R503" s="160">
        <f t="shared" si="288"/>
        <v>11289.416294022069</v>
      </c>
      <c r="S503" s="160">
        <f t="shared" si="289"/>
        <v>1.5707077482559124</v>
      </c>
      <c r="T503" s="160" t="str">
        <f t="shared" si="281"/>
        <v>1+0.418126527767883i</v>
      </c>
      <c r="U503" s="160">
        <f t="shared" si="290"/>
        <v>1.0838956560588413</v>
      </c>
      <c r="V503" s="160">
        <f t="shared" si="291"/>
        <v>0.39603438000166596</v>
      </c>
      <c r="W503" s="98" t="str">
        <f t="shared" si="282"/>
        <v>1-3.32128873120588i</v>
      </c>
      <c r="X503" s="160">
        <f t="shared" si="292"/>
        <v>3.4685672598401727</v>
      </c>
      <c r="Y503" s="160">
        <f t="shared" si="293"/>
        <v>-1.2783417164268207</v>
      </c>
      <c r="Z503" s="98" t="str">
        <f t="shared" si="283"/>
        <v>-9.1237163717161+6.40644950119692i</v>
      </c>
      <c r="AA503" s="160">
        <f t="shared" si="294"/>
        <v>11.14830909344133</v>
      </c>
      <c r="AB503" s="160">
        <f t="shared" si="295"/>
        <v>2.5294081581917838</v>
      </c>
      <c r="AC503" s="171" t="str">
        <f t="shared" si="296"/>
        <v>0.000866591328009422+0.00313080531022137i</v>
      </c>
      <c r="AD503" s="190">
        <f t="shared" si="297"/>
        <v>-49.766272545604444</v>
      </c>
      <c r="AE503" s="169">
        <f t="shared" si="298"/>
        <v>74.528176435500413</v>
      </c>
      <c r="AF503" s="98" t="str">
        <f t="shared" si="284"/>
        <v>-0.0000366300366300366</v>
      </c>
      <c r="AG503" s="98" t="str">
        <f t="shared" si="285"/>
        <v>0.306922663999828i</v>
      </c>
      <c r="AH503" s="98">
        <f t="shared" si="299"/>
        <v>0.30692266399982798</v>
      </c>
      <c r="AI503" s="98">
        <f t="shared" si="300"/>
        <v>1.5707963267948966</v>
      </c>
      <c r="AJ503" s="98" t="str">
        <f t="shared" si="286"/>
        <v>1+43.8368854274067i</v>
      </c>
      <c r="AK503" s="98">
        <f t="shared" si="301"/>
        <v>43.848289863751603</v>
      </c>
      <c r="AL503" s="98">
        <f t="shared" si="302"/>
        <v>1.5479884428774675</v>
      </c>
      <c r="AM503" s="98" t="str">
        <f t="shared" si="287"/>
        <v>1+3024.74509449106i</v>
      </c>
      <c r="AN503" s="98">
        <f t="shared" si="303"/>
        <v>3024.7452597942415</v>
      </c>
      <c r="AO503" s="98">
        <f t="shared" si="304"/>
        <v>1.5704657204355748</v>
      </c>
      <c r="AP503" s="168" t="str">
        <f t="shared" si="305"/>
        <v>-0.000185034059434148+0.00823066300815435i</v>
      </c>
      <c r="AQ503" s="98">
        <f t="shared" si="306"/>
        <v>-41.689109227212739</v>
      </c>
      <c r="AR503" s="169">
        <f t="shared" si="307"/>
        <v>91.287853139023667</v>
      </c>
      <c r="AS503" s="168" t="str">
        <f t="shared" si="308"/>
        <v>-0.0000259289523638642+6.55331557078625E-06i</v>
      </c>
      <c r="AT503" s="190">
        <f t="shared" si="309"/>
        <v>-91.455381772817205</v>
      </c>
      <c r="AU503" s="169">
        <f t="shared" si="310"/>
        <v>165.81602957452407</v>
      </c>
      <c r="AV503" s="225"/>
      <c r="AX503">
        <f t="shared" si="311"/>
        <v>0</v>
      </c>
      <c r="AY503">
        <f t="shared" si="312"/>
        <v>0</v>
      </c>
    </row>
    <row r="504" spans="14:51" x14ac:dyDescent="0.3">
      <c r="N504" s="170">
        <v>86</v>
      </c>
      <c r="O504" s="199">
        <f t="shared" si="313"/>
        <v>724435.96007499192</v>
      </c>
      <c r="P504" s="189" t="str">
        <f t="shared" si="279"/>
        <v>108.75</v>
      </c>
      <c r="Q504" s="160" t="str">
        <f t="shared" si="280"/>
        <v>1+11552.3805352921i</v>
      </c>
      <c r="R504" s="160">
        <f t="shared" si="288"/>
        <v>11552.380578573222</v>
      </c>
      <c r="S504" s="160">
        <f t="shared" si="289"/>
        <v>1.5707097645496133</v>
      </c>
      <c r="T504" s="160" t="str">
        <f t="shared" si="281"/>
        <v>1+0.42786594575156i</v>
      </c>
      <c r="U504" s="160">
        <f t="shared" si="290"/>
        <v>1.0876898765428853</v>
      </c>
      <c r="V504" s="160">
        <f t="shared" si="291"/>
        <v>0.40429562272776798</v>
      </c>
      <c r="W504" s="98" t="str">
        <f t="shared" si="282"/>
        <v>1-3.39865148398402i</v>
      </c>
      <c r="X504" s="160">
        <f t="shared" si="292"/>
        <v>3.5427153300239609</v>
      </c>
      <c r="Y504" s="160">
        <f t="shared" si="293"/>
        <v>-1.2846374799455376</v>
      </c>
      <c r="Z504" s="98" t="str">
        <f t="shared" si="283"/>
        <v>-9.6008324251943+6.55567487997535i</v>
      </c>
      <c r="AA504" s="160">
        <f t="shared" si="294"/>
        <v>11.625526069327018</v>
      </c>
      <c r="AB504" s="160">
        <f t="shared" si="295"/>
        <v>2.5424877365587704</v>
      </c>
      <c r="AC504" s="171" t="str">
        <f t="shared" si="296"/>
        <v>0.000865742065963016+0.00299771936213152i</v>
      </c>
      <c r="AD504" s="190">
        <f t="shared" si="297"/>
        <v>-50.116269868715797</v>
      </c>
      <c r="AE504" s="169">
        <f t="shared" si="298"/>
        <v>73.891269935446175</v>
      </c>
      <c r="AF504" s="98" t="str">
        <f t="shared" si="284"/>
        <v>-0.0000366300366300366</v>
      </c>
      <c r="AG504" s="98" t="str">
        <f t="shared" si="285"/>
        <v>0.314071811243165i</v>
      </c>
      <c r="AH504" s="98">
        <f t="shared" si="299"/>
        <v>0.31407181124316502</v>
      </c>
      <c r="AI504" s="98">
        <f t="shared" si="300"/>
        <v>1.5707963267948966</v>
      </c>
      <c r="AJ504" s="98" t="str">
        <f t="shared" si="286"/>
        <v>1+44.8579776612797i</v>
      </c>
      <c r="AK504" s="98">
        <f t="shared" si="301"/>
        <v>44.869122566190974</v>
      </c>
      <c r="AL504" s="98">
        <f t="shared" si="302"/>
        <v>1.5485074397678609</v>
      </c>
      <c r="AM504" s="98" t="str">
        <f t="shared" si="287"/>
        <v>1+3095.20045862829i</v>
      </c>
      <c r="AN504" s="98">
        <f t="shared" si="303"/>
        <v>3095.2006201687118</v>
      </c>
      <c r="AO504" s="98">
        <f t="shared" si="304"/>
        <v>1.5704732459545527</v>
      </c>
      <c r="AP504" s="168" t="str">
        <f t="shared" si="305"/>
        <v>-0.000176710291493017+0.00804349580296498i</v>
      </c>
      <c r="AQ504" s="98">
        <f t="shared" si="306"/>
        <v>-41.889007584356733</v>
      </c>
      <c r="AR504" s="169">
        <f t="shared" si="307"/>
        <v>91.258547988099792</v>
      </c>
      <c r="AS504" s="168" t="str">
        <f t="shared" si="308"/>
        <v>-0.0000242651286406058+6.43386481172723E-06i</v>
      </c>
      <c r="AT504" s="190">
        <f t="shared" si="309"/>
        <v>-92.005277453072551</v>
      </c>
      <c r="AU504" s="169">
        <f t="shared" si="310"/>
        <v>165.14981792354592</v>
      </c>
      <c r="AV504" s="225"/>
      <c r="AX504">
        <f t="shared" si="311"/>
        <v>0</v>
      </c>
      <c r="AY504">
        <f t="shared" si="312"/>
        <v>0</v>
      </c>
    </row>
    <row r="505" spans="14:51" x14ac:dyDescent="0.3">
      <c r="N505" s="170">
        <v>87</v>
      </c>
      <c r="O505" s="199">
        <f t="shared" si="313"/>
        <v>741310.24130091805</v>
      </c>
      <c r="P505" s="189" t="str">
        <f t="shared" si="279"/>
        <v>108.75</v>
      </c>
      <c r="Q505" s="160" t="str">
        <f t="shared" si="280"/>
        <v>1+11821.4700459249i</v>
      </c>
      <c r="R505" s="160">
        <f t="shared" si="288"/>
        <v>11821.470088220824</v>
      </c>
      <c r="S505" s="160">
        <f t="shared" si="289"/>
        <v>1.5707117349468667</v>
      </c>
      <c r="T505" s="160" t="str">
        <f t="shared" si="281"/>
        <v>1+0.437832223923147i</v>
      </c>
      <c r="U505" s="160">
        <f t="shared" si="290"/>
        <v>1.0916487788228817</v>
      </c>
      <c r="V505" s="160">
        <f t="shared" si="291"/>
        <v>0.41268925781911464</v>
      </c>
      <c r="W505" s="98" t="str">
        <f t="shared" si="282"/>
        <v>1-3.47781624676543i</v>
      </c>
      <c r="X505" s="160">
        <f t="shared" si="292"/>
        <v>3.6187298664401002</v>
      </c>
      <c r="Y505" s="160">
        <f t="shared" si="293"/>
        <v>-1.2908125551824998</v>
      </c>
      <c r="Z505" s="98" t="str">
        <f t="shared" si="283"/>
        <v>-10.1004342655245+6.70837616434973i</v>
      </c>
      <c r="AA505" s="160">
        <f t="shared" si="294"/>
        <v>12.125225074801584</v>
      </c>
      <c r="AB505" s="160">
        <f t="shared" si="295"/>
        <v>2.5553225141696112</v>
      </c>
      <c r="AC505" s="171" t="str">
        <f t="shared" si="296"/>
        <v>0.000862116888893054+0.00287047107459687i</v>
      </c>
      <c r="AD505" s="190">
        <f t="shared" si="297"/>
        <v>-50.46585865845919</v>
      </c>
      <c r="AE505" s="169">
        <f t="shared" si="298"/>
        <v>73.282892568162779</v>
      </c>
      <c r="AF505" s="98" t="str">
        <f t="shared" si="284"/>
        <v>-0.0000366300366300366</v>
      </c>
      <c r="AG505" s="98" t="str">
        <f t="shared" si="285"/>
        <v>0.321387483518054i</v>
      </c>
      <c r="AH505" s="98">
        <f t="shared" si="299"/>
        <v>0.32138748351805402</v>
      </c>
      <c r="AI505" s="98">
        <f t="shared" si="300"/>
        <v>1.5707963267948966</v>
      </c>
      <c r="AJ505" s="98" t="str">
        <f t="shared" si="286"/>
        <v>1+45.902854188674i</v>
      </c>
      <c r="AK505" s="98">
        <f t="shared" si="301"/>
        <v>45.913745465455833</v>
      </c>
      <c r="AL505" s="98">
        <f t="shared" si="302"/>
        <v>1.5490146344514482</v>
      </c>
      <c r="AM505" s="98" t="str">
        <f t="shared" si="287"/>
        <v>1+3167.2969390185i</v>
      </c>
      <c r="AN505" s="98">
        <f t="shared" si="303"/>
        <v>3167.2970968818126</v>
      </c>
      <c r="AO505" s="98">
        <f t="shared" si="304"/>
        <v>1.5704806001718405</v>
      </c>
      <c r="AP505" s="168" t="str">
        <f t="shared" si="305"/>
        <v>-0.000168760791020637+0.00786057666622175i</v>
      </c>
      <c r="AQ505" s="98">
        <f t="shared" si="306"/>
        <v>-42.088910513961238</v>
      </c>
      <c r="AR505" s="169">
        <f t="shared" si="307"/>
        <v>91.229909238950981</v>
      </c>
      <c r="AS505" s="168" t="str">
        <f t="shared" si="308"/>
        <v>-0.0000227090494781625+0.0000062923129312376i</v>
      </c>
      <c r="AT505" s="190">
        <f t="shared" si="309"/>
        <v>-92.554769172420421</v>
      </c>
      <c r="AU505" s="169">
        <f t="shared" si="310"/>
        <v>164.51280180711379</v>
      </c>
      <c r="AV505" s="225"/>
      <c r="AX505">
        <f t="shared" si="311"/>
        <v>0</v>
      </c>
      <c r="AY505">
        <f t="shared" si="312"/>
        <v>0</v>
      </c>
    </row>
    <row r="506" spans="14:51" x14ac:dyDescent="0.3">
      <c r="N506" s="170">
        <v>88</v>
      </c>
      <c r="O506" s="199">
        <f t="shared" si="313"/>
        <v>758577.57502918423</v>
      </c>
      <c r="P506" s="189" t="str">
        <f t="shared" si="279"/>
        <v>108.75</v>
      </c>
      <c r="Q506" s="160" t="str">
        <f t="shared" si="280"/>
        <v>1+12096.8274564518i</v>
      </c>
      <c r="R506" s="160">
        <f t="shared" si="288"/>
        <v>12096.827497784951</v>
      </c>
      <c r="S506" s="160">
        <f t="shared" si="289"/>
        <v>1.5707136604924035</v>
      </c>
      <c r="T506" s="160" t="str">
        <f t="shared" si="281"/>
        <v>1+0.448030646535254i</v>
      </c>
      <c r="U506" s="160">
        <f t="shared" si="290"/>
        <v>1.0957789285411532</v>
      </c>
      <c r="V506" s="160">
        <f t="shared" si="291"/>
        <v>0.4212150037800837</v>
      </c>
      <c r="W506" s="98" t="str">
        <f t="shared" si="282"/>
        <v>1-3.55882499375521i</v>
      </c>
      <c r="X506" s="160">
        <f t="shared" si="292"/>
        <v>3.6966519089815275</v>
      </c>
      <c r="Y506" s="160">
        <f t="shared" si="293"/>
        <v>-1.2968683317998118</v>
      </c>
      <c r="Z506" s="98" t="str">
        <f t="shared" si="283"/>
        <v>-10.6235816151931+6.86463431856232i</v>
      </c>
      <c r="AA506" s="160">
        <f t="shared" si="294"/>
        <v>12.648465941063856</v>
      </c>
      <c r="AB506" s="160">
        <f t="shared" si="295"/>
        <v>2.5679149491069539</v>
      </c>
      <c r="AC506" s="171" t="str">
        <f t="shared" si="296"/>
        <v>0.00085602680059917+0.00274886006733646i</v>
      </c>
      <c r="AD506" s="190">
        <f t="shared" si="297"/>
        <v>-50.814971502601267</v>
      </c>
      <c r="AE506" s="169">
        <f t="shared" si="298"/>
        <v>72.702807685745654</v>
      </c>
      <c r="AF506" s="98" t="str">
        <f t="shared" si="284"/>
        <v>-0.0000366300366300366</v>
      </c>
      <c r="AG506" s="98" t="str">
        <f t="shared" si="285"/>
        <v>0.328873559690771i</v>
      </c>
      <c r="AH506" s="98">
        <f t="shared" si="299"/>
        <v>0.32887355969077098</v>
      </c>
      <c r="AI506" s="98">
        <f t="shared" si="300"/>
        <v>1.5707963267948966</v>
      </c>
      <c r="AJ506" s="98" t="str">
        <f t="shared" si="286"/>
        <v>1+46.9720690169554i</v>
      </c>
      <c r="AK506" s="98">
        <f t="shared" si="301"/>
        <v>46.982712434826723</v>
      </c>
      <c r="AL506" s="98">
        <f t="shared" si="302"/>
        <v>1.5495102948051733</v>
      </c>
      <c r="AM506" s="98" t="str">
        <f t="shared" si="287"/>
        <v>1+3241.07276216991i</v>
      </c>
      <c r="AN506" s="98">
        <f t="shared" si="303"/>
        <v>3241.0729164398158</v>
      </c>
      <c r="AO506" s="98">
        <f t="shared" si="304"/>
        <v>1.5704877869867382</v>
      </c>
      <c r="AP506" s="168" t="str">
        <f t="shared" si="305"/>
        <v>-0.000161168745194364+0.00768180972535076i</v>
      </c>
      <c r="AQ506" s="98">
        <f t="shared" si="306"/>
        <v>-42.288817810426956</v>
      </c>
      <c r="AR506" s="169">
        <f t="shared" si="307"/>
        <v>91.20192176677233</v>
      </c>
      <c r="AS506" s="168" t="str">
        <f t="shared" si="308"/>
        <v>-0.0000212541847641989+6.13280467423609E-06i</v>
      </c>
      <c r="AT506" s="190">
        <f t="shared" si="309"/>
        <v>-93.103789313028216</v>
      </c>
      <c r="AU506" s="169">
        <f t="shared" si="310"/>
        <v>163.90472945251801</v>
      </c>
      <c r="AV506" s="225"/>
      <c r="AX506">
        <f t="shared" si="311"/>
        <v>0</v>
      </c>
      <c r="AY506">
        <f t="shared" si="312"/>
        <v>0</v>
      </c>
    </row>
    <row r="507" spans="14:51" x14ac:dyDescent="0.3">
      <c r="N507" s="170">
        <v>89</v>
      </c>
      <c r="O507" s="199">
        <f t="shared" si="313"/>
        <v>776247.11662869214</v>
      </c>
      <c r="P507" s="189" t="str">
        <f t="shared" si="279"/>
        <v>108.75</v>
      </c>
      <c r="Q507" s="160" t="str">
        <f t="shared" si="280"/>
        <v>1+12378.5987650166i</v>
      </c>
      <c r="R507" s="160">
        <f t="shared" si="288"/>
        <v>12378.598805408894</v>
      </c>
      <c r="S507" s="160">
        <f t="shared" si="289"/>
        <v>1.5707155422071732</v>
      </c>
      <c r="T507" s="160" t="str">
        <f t="shared" si="281"/>
        <v>1+0.458466620926542i</v>
      </c>
      <c r="U507" s="160">
        <f t="shared" si="290"/>
        <v>1.1000871067800957</v>
      </c>
      <c r="V507" s="160">
        <f t="shared" si="291"/>
        <v>0.42987242224972833</v>
      </c>
      <c r="W507" s="98" t="str">
        <f t="shared" si="282"/>
        <v>1-3.64172067686331i</v>
      </c>
      <c r="X507" s="160">
        <f t="shared" si="292"/>
        <v>3.7765234658735753</v>
      </c>
      <c r="Y507" s="160">
        <f t="shared" si="293"/>
        <v>-1.3028062433153444</v>
      </c>
      <c r="Z507" s="98" t="str">
        <f t="shared" si="283"/>
        <v>-11.1713841398683+7.0245321927548i</v>
      </c>
      <c r="AA507" s="160">
        <f t="shared" si="294"/>
        <v>13.196358441916828</v>
      </c>
      <c r="AB507" s="160">
        <f t="shared" si="295"/>
        <v>2.5802676106839657</v>
      </c>
      <c r="AC507" s="171" t="str">
        <f t="shared" si="296"/>
        <v>0.000847759095996927+0.00263268501956079i</v>
      </c>
      <c r="AD507" s="190">
        <f t="shared" si="297"/>
        <v>-51.163541260914428</v>
      </c>
      <c r="AE507" s="169">
        <f t="shared" si="298"/>
        <v>72.150760768141993</v>
      </c>
      <c r="AF507" s="98" t="str">
        <f t="shared" si="284"/>
        <v>-0.0000366300366300366</v>
      </c>
      <c r="AG507" s="98" t="str">
        <f t="shared" si="285"/>
        <v>0.336534008977992i</v>
      </c>
      <c r="AH507" s="98">
        <f t="shared" si="299"/>
        <v>0.33653400897799202</v>
      </c>
      <c r="AI507" s="98">
        <f t="shared" si="300"/>
        <v>1.5707963267948966</v>
      </c>
      <c r="AJ507" s="98" t="str">
        <f t="shared" si="286"/>
        <v>1+48.0661890579784i</v>
      </c>
      <c r="AK507" s="98">
        <f t="shared" si="301"/>
        <v>48.076590255105678</v>
      </c>
      <c r="AL507" s="98">
        <f t="shared" si="302"/>
        <v>1.5499946826599713</v>
      </c>
      <c r="AM507" s="98" t="str">
        <f t="shared" si="287"/>
        <v>1+3316.5670450005i</v>
      </c>
      <c r="AN507" s="98">
        <f t="shared" si="303"/>
        <v>3316.5671957587938</v>
      </c>
      <c r="AO507" s="98">
        <f t="shared" si="304"/>
        <v>1.5704948102097869</v>
      </c>
      <c r="AP507" s="168" t="str">
        <f t="shared" si="305"/>
        <v>-0.000153918095081475+0.00750710123511476i</v>
      </c>
      <c r="AQ507" s="98">
        <f t="shared" si="306"/>
        <v>-42.488729277390902</v>
      </c>
      <c r="AR507" s="169">
        <f t="shared" si="307"/>
        <v>91.174570788084296</v>
      </c>
      <c r="AS507" s="168" t="str">
        <f t="shared" si="308"/>
        <v>-0.0000198943184271568+5.95899549347797E-06i</v>
      </c>
      <c r="AT507" s="190">
        <f t="shared" si="309"/>
        <v>-93.652270538305316</v>
      </c>
      <c r="AU507" s="169">
        <f t="shared" si="310"/>
        <v>163.3253315562263</v>
      </c>
      <c r="AV507" s="225"/>
      <c r="AX507">
        <f t="shared" si="311"/>
        <v>0</v>
      </c>
      <c r="AY507">
        <f t="shared" si="312"/>
        <v>0</v>
      </c>
    </row>
    <row r="508" spans="14:51" x14ac:dyDescent="0.3">
      <c r="N508" s="170">
        <v>90</v>
      </c>
      <c r="O508" s="199">
        <f t="shared" si="313"/>
        <v>794328.23472428333</v>
      </c>
      <c r="P508" s="189" t="str">
        <f t="shared" si="279"/>
        <v>108.75</v>
      </c>
      <c r="Q508" s="160" t="str">
        <f t="shared" si="280"/>
        <v>1+12666.9333704967i</v>
      </c>
      <c r="R508" s="160">
        <f t="shared" si="288"/>
        <v>12666.933409969552</v>
      </c>
      <c r="S508" s="160">
        <f t="shared" si="289"/>
        <v>1.5707173810888861</v>
      </c>
      <c r="T508" s="160" t="str">
        <f t="shared" si="281"/>
        <v>1+0.469145680388768i</v>
      </c>
      <c r="U508" s="160">
        <f t="shared" si="290"/>
        <v>1.1045803137062693</v>
      </c>
      <c r="V508" s="160">
        <f t="shared" si="291"/>
        <v>0.43866091141993113</v>
      </c>
      <c r="W508" s="98" t="str">
        <f t="shared" si="282"/>
        <v>1-3.72654724847816i</v>
      </c>
      <c r="X508" s="160">
        <f t="shared" si="292"/>
        <v>3.8583875382263182</v>
      </c>
      <c r="Y508" s="160">
        <f t="shared" si="293"/>
        <v>-1.3086277625128853</v>
      </c>
      <c r="Z508" s="98" t="str">
        <f t="shared" si="283"/>
        <v>-11.7450038021501+7.18815456689656i</v>
      </c>
      <c r="AA508" s="160">
        <f t="shared" si="294"/>
        <v>13.770064647274395</v>
      </c>
      <c r="AB508" s="160">
        <f t="shared" si="295"/>
        <v>2.5923831695318116</v>
      </c>
      <c r="AC508" s="171" t="str">
        <f t="shared" si="296"/>
        <v>0.000837578610622855+0.00252174476891062i</v>
      </c>
      <c r="AD508" s="190">
        <f t="shared" si="297"/>
        <v>-51.511501120046731</v>
      </c>
      <c r="AE508" s="169">
        <f t="shared" si="298"/>
        <v>71.62647987693245</v>
      </c>
      <c r="AF508" s="98" t="str">
        <f t="shared" si="284"/>
        <v>-0.0000366300366300366</v>
      </c>
      <c r="AG508" s="98" t="str">
        <f t="shared" si="285"/>
        <v>0.344372893051329i</v>
      </c>
      <c r="AH508" s="98">
        <f t="shared" si="299"/>
        <v>0.34437289305132901</v>
      </c>
      <c r="AI508" s="98">
        <f t="shared" si="300"/>
        <v>1.5707963267948966</v>
      </c>
      <c r="AJ508" s="98" t="str">
        <f t="shared" si="286"/>
        <v>1+49.1857944286713i</v>
      </c>
      <c r="AK508" s="98">
        <f t="shared" si="301"/>
        <v>49.195958915133595</v>
      </c>
      <c r="AL508" s="98">
        <f t="shared" si="302"/>
        <v>1.5504680539349509</v>
      </c>
      <c r="AM508" s="98" t="str">
        <f t="shared" si="287"/>
        <v>1+3393.81981557831i</v>
      </c>
      <c r="AN508" s="98">
        <f t="shared" si="303"/>
        <v>3393.8199629049259</v>
      </c>
      <c r="AO508" s="98">
        <f t="shared" si="304"/>
        <v>1.5705016735647901</v>
      </c>
      <c r="AP508" s="168" t="str">
        <f t="shared" si="305"/>
        <v>-0.000146993501955564+0.00733635953284901i</v>
      </c>
      <c r="AQ508" s="98">
        <f t="shared" si="306"/>
        <v>-42.688644727312393</v>
      </c>
      <c r="AR508" s="169">
        <f t="shared" si="307"/>
        <v>91.147841853160216</v>
      </c>
      <c r="AS508" s="168" t="str">
        <f t="shared" si="308"/>
        <v>-0.0000186235448879481+5.77409772993312E-06i</v>
      </c>
      <c r="AT508" s="190">
        <f t="shared" si="309"/>
        <v>-94.200145847359124</v>
      </c>
      <c r="AU508" s="169">
        <f t="shared" si="310"/>
        <v>162.77432173009268</v>
      </c>
      <c r="AV508" s="225"/>
      <c r="AX508">
        <f t="shared" si="311"/>
        <v>0</v>
      </c>
      <c r="AY508">
        <f t="shared" si="312"/>
        <v>0</v>
      </c>
    </row>
    <row r="509" spans="14:51" x14ac:dyDescent="0.3">
      <c r="N509" s="170">
        <v>91</v>
      </c>
      <c r="O509" s="199">
        <f t="shared" si="313"/>
        <v>812830.51616410096</v>
      </c>
      <c r="P509" s="189" t="str">
        <f t="shared" si="279"/>
        <v>108.75</v>
      </c>
      <c r="Q509" s="160" t="str">
        <f t="shared" si="280"/>
        <v>1+12961.9841517165i</v>
      </c>
      <c r="R509" s="160">
        <f t="shared" si="288"/>
        <v>12961.984190290839</v>
      </c>
      <c r="S509" s="160">
        <f t="shared" si="289"/>
        <v>1.5707191781125414</v>
      </c>
      <c r="T509" s="160" t="str">
        <f t="shared" si="281"/>
        <v>1+0.480073487100612i</v>
      </c>
      <c r="U509" s="160">
        <f t="shared" si="290"/>
        <v>1.1092657720388479</v>
      </c>
      <c r="V509" s="160">
        <f t="shared" si="291"/>
        <v>0.44757969963198696</v>
      </c>
      <c r="W509" s="98" t="str">
        <f t="shared" si="282"/>
        <v>1-3.81334968477082i</v>
      </c>
      <c r="X509" s="160">
        <f t="shared" si="292"/>
        <v>3.9422881450170166</v>
      </c>
      <c r="Y509" s="160">
        <f t="shared" si="293"/>
        <v>-1.3143343970655821</v>
      </c>
      <c r="Z509" s="98" t="str">
        <f t="shared" si="283"/>
        <v>-12.3456573262486+7.35558819573615i</v>
      </c>
      <c r="AA509" s="160">
        <f t="shared" si="294"/>
        <v>14.370801387619576</v>
      </c>
      <c r="AB509" s="160">
        <f t="shared" si="295"/>
        <v>2.6042643880785539</v>
      </c>
      <c r="AC509" s="171" t="str">
        <f t="shared" si="296"/>
        <v>0.000825728958182588+0.00241583928047686i</v>
      </c>
      <c r="AD509" s="190">
        <f t="shared" si="297"/>
        <v>-51.858784651132979</v>
      </c>
      <c r="AE509" s="169">
        <f t="shared" si="298"/>
        <v>71.129676084689322</v>
      </c>
      <c r="AF509" s="98" t="str">
        <f t="shared" si="284"/>
        <v>-0.0000366300366300366</v>
      </c>
      <c r="AG509" s="98" t="str">
        <f t="shared" si="285"/>
        <v>0.352394368190874i</v>
      </c>
      <c r="AH509" s="98">
        <f t="shared" si="299"/>
        <v>0.352394368190874</v>
      </c>
      <c r="AI509" s="98">
        <f t="shared" si="300"/>
        <v>1.5707963267948966</v>
      </c>
      <c r="AJ509" s="98" t="str">
        <f t="shared" si="286"/>
        <v>1+50.331478758621i</v>
      </c>
      <c r="AK509" s="98">
        <f t="shared" si="301"/>
        <v>50.341411919308712</v>
      </c>
      <c r="AL509" s="98">
        <f t="shared" si="302"/>
        <v>1.5509306587687561</v>
      </c>
      <c r="AM509" s="98" t="str">
        <f t="shared" si="287"/>
        <v>1+3472.87203434484i</v>
      </c>
      <c r="AN509" s="98">
        <f t="shared" si="303"/>
        <v>3472.872178317893</v>
      </c>
      <c r="AO509" s="98">
        <f t="shared" si="304"/>
        <v>1.5705083806907865</v>
      </c>
      <c r="AP509" s="168" t="str">
        <f t="shared" si="305"/>
        <v>-0.000140380315107269+0.00716949499447355i</v>
      </c>
      <c r="AQ509" s="98">
        <f t="shared" si="306"/>
        <v>-42.888563981076906</v>
      </c>
      <c r="AR509" s="169">
        <f t="shared" si="307"/>
        <v>91.121720838613086</v>
      </c>
      <c r="AS509" s="168" t="str">
        <f t="shared" si="308"/>
        <v>-0.0000174362637201743+5.58092335304006E-06i</v>
      </c>
      <c r="AT509" s="190">
        <f t="shared" si="309"/>
        <v>-94.747348632209878</v>
      </c>
      <c r="AU509" s="169">
        <f t="shared" si="310"/>
        <v>162.25139692330242</v>
      </c>
      <c r="AV509" s="225"/>
      <c r="AX509">
        <f t="shared" si="311"/>
        <v>0</v>
      </c>
      <c r="AY509">
        <f t="shared" si="312"/>
        <v>0</v>
      </c>
    </row>
    <row r="510" spans="14:51" x14ac:dyDescent="0.3">
      <c r="N510" s="170">
        <v>92</v>
      </c>
      <c r="O510" s="199">
        <f t="shared" si="313"/>
        <v>831763.77110267128</v>
      </c>
      <c r="P510" s="189" t="str">
        <f t="shared" si="279"/>
        <v>108.75</v>
      </c>
      <c r="Q510" s="160" t="str">
        <f t="shared" si="280"/>
        <v>1+13263.9075485057i</v>
      </c>
      <c r="R510" s="160">
        <f t="shared" si="288"/>
        <v>13263.907586201982</v>
      </c>
      <c r="S510" s="160">
        <f t="shared" si="289"/>
        <v>1.5707209342309445</v>
      </c>
      <c r="T510" s="160" t="str">
        <f t="shared" si="281"/>
        <v>1+0.491255835129841i</v>
      </c>
      <c r="U510" s="160">
        <f t="shared" si="290"/>
        <v>1.1141509303272683</v>
      </c>
      <c r="V510" s="160">
        <f t="shared" si="291"/>
        <v>0.45662783919863797</v>
      </c>
      <c r="W510" s="98" t="str">
        <f t="shared" si="282"/>
        <v>1-3.902174009542i</v>
      </c>
      <c r="X510" s="160">
        <f t="shared" si="292"/>
        <v>4.0282703485174745</v>
      </c>
      <c r="Y510" s="160">
        <f t="shared" si="293"/>
        <v>-1.319927685371368</v>
      </c>
      <c r="Z510" s="98" t="str">
        <f t="shared" si="283"/>
        <v>-12.9746187788195+7.52692185479982i</v>
      </c>
      <c r="AA510" s="160">
        <f t="shared" si="294"/>
        <v>14.999842834641928</v>
      </c>
      <c r="AB510" s="160">
        <f t="shared" si="295"/>
        <v>2.6159141114245674</v>
      </c>
      <c r="AC510" s="171" t="str">
        <f t="shared" si="296"/>
        <v>0.000812433748526277+0.00231477049473576i</v>
      </c>
      <c r="AD510" s="190">
        <f t="shared" si="297"/>
        <v>-52.20532587037092</v>
      </c>
      <c r="AE510" s="169">
        <f t="shared" si="298"/>
        <v>70.660043882387839</v>
      </c>
      <c r="AF510" s="98" t="str">
        <f t="shared" si="284"/>
        <v>-0.0000366300366300366</v>
      </c>
      <c r="AG510" s="98" t="str">
        <f t="shared" si="285"/>
        <v>0.360602687488925i</v>
      </c>
      <c r="AH510" s="98">
        <f t="shared" si="299"/>
        <v>0.36060268748892499</v>
      </c>
      <c r="AI510" s="98">
        <f t="shared" si="300"/>
        <v>1.5707963267948966</v>
      </c>
      <c r="AJ510" s="98" t="str">
        <f t="shared" si="286"/>
        <v>1+51.5038495048244i</v>
      </c>
      <c r="AK510" s="98">
        <f t="shared" si="301"/>
        <v>51.513556602273162</v>
      </c>
      <c r="AL510" s="98">
        <f t="shared" si="302"/>
        <v>1.5513827416481474</v>
      </c>
      <c r="AM510" s="98" t="str">
        <f t="shared" si="287"/>
        <v>1+3553.76561583288i</v>
      </c>
      <c r="AN510" s="98">
        <f t="shared" si="303"/>
        <v>3553.7657565287063</v>
      </c>
      <c r="AO510" s="98">
        <f t="shared" si="304"/>
        <v>1.5705149351439811</v>
      </c>
      <c r="AP510" s="168" t="str">
        <f t="shared" si="305"/>
        <v>-0.000134064541083946+0.0070064199912786i</v>
      </c>
      <c r="AQ510" s="98">
        <f t="shared" si="306"/>
        <v>-43.088486867618705</v>
      </c>
      <c r="AR510" s="169">
        <f t="shared" si="307"/>
        <v>91.096193940138917</v>
      </c>
      <c r="AS510" s="168" t="str">
        <f t="shared" si="308"/>
        <v>-0.0000163271728271958+5.38192341317251E-06i</v>
      </c>
      <c r="AT510" s="190">
        <f t="shared" si="309"/>
        <v>-95.293812737989612</v>
      </c>
      <c r="AU510" s="169">
        <f t="shared" si="310"/>
        <v>161.75623782252677</v>
      </c>
      <c r="AV510" s="225"/>
      <c r="AX510">
        <f t="shared" si="311"/>
        <v>0</v>
      </c>
      <c r="AY510">
        <f t="shared" si="312"/>
        <v>0</v>
      </c>
    </row>
    <row r="511" spans="14:51" x14ac:dyDescent="0.3">
      <c r="N511" s="170">
        <v>93</v>
      </c>
      <c r="O511" s="199">
        <f t="shared" si="313"/>
        <v>851138.03820237669</v>
      </c>
      <c r="P511" s="189" t="str">
        <f t="shared" si="279"/>
        <v>108.75</v>
      </c>
      <c r="Q511" s="160" t="str">
        <f t="shared" si="280"/>
        <v>1+13572.8636446456i</v>
      </c>
      <c r="R511" s="160">
        <f t="shared" si="288"/>
        <v>13572.86368148381</v>
      </c>
      <c r="S511" s="160">
        <f t="shared" si="289"/>
        <v>1.570722650375213</v>
      </c>
      <c r="T511" s="160" t="str">
        <f t="shared" si="281"/>
        <v>1+0.502698653505395i</v>
      </c>
      <c r="U511" s="160">
        <f t="shared" si="290"/>
        <v>1.1192434660234283</v>
      </c>
      <c r="V511" s="160">
        <f t="shared" si="291"/>
        <v>0.46580420050086796</v>
      </c>
      <c r="W511" s="98" t="str">
        <f t="shared" si="282"/>
        <v>1-3.99306731862442i</v>
      </c>
      <c r="X511" s="160">
        <f t="shared" si="292"/>
        <v>4.1163802801814136</v>
      </c>
      <c r="Y511" s="160">
        <f t="shared" si="293"/>
        <v>-1.3254091925980838</v>
      </c>
      <c r="Z511" s="98" t="str">
        <f t="shared" si="283"/>
        <v>-13.6332222714301+7.70224638746151i</v>
      </c>
      <c r="AA511" s="160">
        <f t="shared" si="294"/>
        <v>15.65852320352662</v>
      </c>
      <c r="AB511" s="160">
        <f t="shared" si="295"/>
        <v>2.6273352586169612</v>
      </c>
      <c r="AC511" s="171" t="str">
        <f t="shared" si="296"/>
        <v>0.000797897779608792+0.00221834306318437i</v>
      </c>
      <c r="AD511" s="190">
        <f t="shared" si="297"/>
        <v>-52.551059302747227</v>
      </c>
      <c r="AE511" s="169">
        <f t="shared" si="298"/>
        <v>70.21726156768608</v>
      </c>
      <c r="AF511" s="98" t="str">
        <f t="shared" si="284"/>
        <v>-0.0000366300366300366</v>
      </c>
      <c r="AG511" s="98" t="str">
        <f t="shared" si="285"/>
        <v>0.369002203105023i</v>
      </c>
      <c r="AH511" s="98">
        <f t="shared" si="299"/>
        <v>0.36900220310502302</v>
      </c>
      <c r="AI511" s="98">
        <f t="shared" si="300"/>
        <v>1.5707963267948966</v>
      </c>
      <c r="AJ511" s="98" t="str">
        <f t="shared" si="286"/>
        <v>1+52.7035282737694i</v>
      </c>
      <c r="AK511" s="98">
        <f t="shared" si="301"/>
        <v>52.71301445093053</v>
      </c>
      <c r="AL511" s="98">
        <f t="shared" si="302"/>
        <v>1.5518245415338576</v>
      </c>
      <c r="AM511" s="98" t="str">
        <f t="shared" si="287"/>
        <v>1+3636.54345089008i</v>
      </c>
      <c r="AN511" s="98">
        <f t="shared" si="303"/>
        <v>3636.5435883832779</v>
      </c>
      <c r="AO511" s="98">
        <f t="shared" si="304"/>
        <v>1.570521340399629</v>
      </c>
      <c r="AP511" s="168" t="str">
        <f t="shared" si="305"/>
        <v>-0.000128032814295771+0.00684704884748289i</v>
      </c>
      <c r="AQ511" s="98">
        <f t="shared" si="306"/>
        <v>-43.288413223559061</v>
      </c>
      <c r="AR511" s="169">
        <f t="shared" si="307"/>
        <v>91.071247665413679</v>
      </c>
      <c r="AS511" s="168" t="str">
        <f t="shared" si="308"/>
        <v>-0.0000152912604123419+5.17922436682654E-06i</v>
      </c>
      <c r="AT511" s="190">
        <f t="shared" si="309"/>
        <v>-95.839472526306281</v>
      </c>
      <c r="AU511" s="169">
        <f t="shared" si="310"/>
        <v>161.2885092330998</v>
      </c>
      <c r="AV511" s="225"/>
      <c r="AX511">
        <f t="shared" si="311"/>
        <v>0</v>
      </c>
      <c r="AY511">
        <f t="shared" si="312"/>
        <v>0</v>
      </c>
    </row>
    <row r="512" spans="14:51" x14ac:dyDescent="0.3">
      <c r="N512" s="170">
        <v>94</v>
      </c>
      <c r="O512" s="199">
        <f t="shared" si="313"/>
        <v>870963.58995608077</v>
      </c>
      <c r="P512" s="189" t="str">
        <f t="shared" si="279"/>
        <v>108.75</v>
      </c>
      <c r="Q512" s="160" t="str">
        <f t="shared" si="280"/>
        <v>1+13889.0162527481i</v>
      </c>
      <c r="R512" s="160">
        <f t="shared" si="288"/>
        <v>13889.016288747771</v>
      </c>
      <c r="S512" s="160">
        <f t="shared" si="289"/>
        <v>1.5707243274552691</v>
      </c>
      <c r="T512" s="160" t="str">
        <f t="shared" si="281"/>
        <v>1+0.514408009361042i</v>
      </c>
      <c r="U512" s="160">
        <f t="shared" si="290"/>
        <v>1.1245512883345028</v>
      </c>
      <c r="V512" s="160">
        <f t="shared" si="291"/>
        <v>0.47510746641079693</v>
      </c>
      <c r="W512" s="98" t="str">
        <f t="shared" si="282"/>
        <v>1-4.08607780485367i</v>
      </c>
      <c r="X512" s="160">
        <f t="shared" si="292"/>
        <v>4.2066651670079223</v>
      </c>
      <c r="Y512" s="160">
        <f t="shared" si="293"/>
        <v>-1.3307805069352092</v>
      </c>
      <c r="Z512" s="98" t="str">
        <f t="shared" si="283"/>
        <v>-14.3228647903887+7.88165475310911i</v>
      </c>
      <c r="AA512" s="160">
        <f t="shared" si="294"/>
        <v>16.348239582626739</v>
      </c>
      <c r="AB512" s="160">
        <f t="shared" si="295"/>
        <v>2.6385308143232802</v>
      </c>
      <c r="AC512" s="171" t="str">
        <f t="shared" si="296"/>
        <v>0.000782308198072759+0.00212636498031891i</v>
      </c>
      <c r="AD512" s="190">
        <f t="shared" si="297"/>
        <v>-52.895920049056883</v>
      </c>
      <c r="AE512" s="169">
        <f t="shared" si="298"/>
        <v>69.800991617172684</v>
      </c>
      <c r="AF512" s="98" t="str">
        <f t="shared" si="284"/>
        <v>-0.0000366300366300366</v>
      </c>
      <c r="AG512" s="98" t="str">
        <f t="shared" si="285"/>
        <v>0.37759736857353i</v>
      </c>
      <c r="AH512" s="98">
        <f t="shared" si="299"/>
        <v>0.37759736857352999</v>
      </c>
      <c r="AI512" s="98">
        <f t="shared" si="300"/>
        <v>1.5707963267948966</v>
      </c>
      <c r="AJ512" s="98" t="str">
        <f t="shared" si="286"/>
        <v>1+53.9311511510188i</v>
      </c>
      <c r="AK512" s="98">
        <f t="shared" si="301"/>
        <v>53.940421433967657</v>
      </c>
      <c r="AL512" s="98">
        <f t="shared" si="302"/>
        <v>1.5522562919837697</v>
      </c>
      <c r="AM512" s="98" t="str">
        <f t="shared" si="287"/>
        <v>1+3721.24942942029i</v>
      </c>
      <c r="AN512" s="98">
        <f t="shared" si="303"/>
        <v>3721.2495637837615</v>
      </c>
      <c r="AO512" s="98">
        <f t="shared" si="304"/>
        <v>1.5705275998538799</v>
      </c>
      <c r="AP512" s="168" t="str">
        <f t="shared" si="305"/>
        <v>-0.000122272368928287+0.00669129779855897i</v>
      </c>
      <c r="AQ512" s="98">
        <f t="shared" si="306"/>
        <v>-43.488342892861823</v>
      </c>
      <c r="AR512" s="169">
        <f t="shared" si="307"/>
        <v>91.046868827141466</v>
      </c>
      <c r="AS512" s="168" t="str">
        <f t="shared" si="308"/>
        <v>-0.0000143237959883512+4.97466144020914E-06i</v>
      </c>
      <c r="AT512" s="190">
        <f t="shared" si="309"/>
        <v>-96.384262941918706</v>
      </c>
      <c r="AU512" s="169">
        <f t="shared" si="310"/>
        <v>160.84786044431419</v>
      </c>
      <c r="AV512" s="225"/>
      <c r="AX512">
        <f t="shared" si="311"/>
        <v>0</v>
      </c>
      <c r="AY512">
        <f t="shared" si="312"/>
        <v>0</v>
      </c>
    </row>
    <row r="513" spans="14:51" x14ac:dyDescent="0.3">
      <c r="N513" s="170">
        <v>95</v>
      </c>
      <c r="O513" s="199">
        <f t="shared" si="313"/>
        <v>891250.93813374708</v>
      </c>
      <c r="P513" s="189" t="str">
        <f t="shared" si="279"/>
        <v>108.75</v>
      </c>
      <c r="Q513" s="160" t="str">
        <f t="shared" si="280"/>
        <v>1+14212.5330011106i</v>
      </c>
      <c r="R513" s="160">
        <f t="shared" si="288"/>
        <v>14212.533036290815</v>
      </c>
      <c r="S513" s="160">
        <f t="shared" si="289"/>
        <v>1.570725966360323</v>
      </c>
      <c r="T513" s="160" t="str">
        <f t="shared" si="281"/>
        <v>1+0.526390111152247i</v>
      </c>
      <c r="U513" s="160">
        <f t="shared" si="290"/>
        <v>1.1300825408433115</v>
      </c>
      <c r="V513" s="160">
        <f t="shared" si="291"/>
        <v>0.48453612709365917</v>
      </c>
      <c r="W513" s="98" t="str">
        <f t="shared" si="282"/>
        <v>1-4.18125478362069i</v>
      </c>
      <c r="X513" s="160">
        <f t="shared" si="292"/>
        <v>4.2991733583970424</v>
      </c>
      <c r="Y513" s="160">
        <f t="shared" si="293"/>
        <v>-1.3360432360483663</v>
      </c>
      <c r="Z513" s="98" t="str">
        <f t="shared" si="283"/>
        <v>-15.04500915994+8.06524207643286i</v>
      </c>
      <c r="AA513" s="160">
        <f t="shared" si="294"/>
        <v>17.070454896520523</v>
      </c>
      <c r="AB513" s="160">
        <f t="shared" si="295"/>
        <v>2.6495038209026767</v>
      </c>
      <c r="AC513" s="171" t="str">
        <f t="shared" si="296"/>
        <v>0.000765835624079052+0.00203864812038192i</v>
      </c>
      <c r="AD513" s="190">
        <f t="shared" si="297"/>
        <v>-53.239843856313044</v>
      </c>
      <c r="AE513" s="169">
        <f t="shared" si="298"/>
        <v>69.410881045945843</v>
      </c>
      <c r="AF513" s="98" t="str">
        <f t="shared" si="284"/>
        <v>-0.0000366300366300366</v>
      </c>
      <c r="AG513" s="98" t="str">
        <f t="shared" si="285"/>
        <v>0.386392741164947i</v>
      </c>
      <c r="AH513" s="98">
        <f t="shared" si="299"/>
        <v>0.38639274116494698</v>
      </c>
      <c r="AI513" s="98">
        <f t="shared" si="300"/>
        <v>1.5707963267948966</v>
      </c>
      <c r="AJ513" s="98" t="str">
        <f t="shared" si="286"/>
        <v>1+55.1873690384718i</v>
      </c>
      <c r="AK513" s="98">
        <f t="shared" si="301"/>
        <v>55.196428339055373</v>
      </c>
      <c r="AL513" s="98">
        <f t="shared" si="302"/>
        <v>1.5526782212734618</v>
      </c>
      <c r="AM513" s="98" t="str">
        <f t="shared" si="287"/>
        <v>1+3807.92846365454i</v>
      </c>
      <c r="AN513" s="98">
        <f t="shared" si="303"/>
        <v>3807.9285949595255</v>
      </c>
      <c r="AO513" s="98">
        <f t="shared" si="304"/>
        <v>1.5705337168255769</v>
      </c>
      <c r="AP513" s="168" t="str">
        <f t="shared" si="305"/>
        <v>-0.000116771012104088+0.00653908495032289i</v>
      </c>
      <c r="AQ513" s="98">
        <f t="shared" si="306"/>
        <v>-43.688275726503782</v>
      </c>
      <c r="AR513" s="169">
        <f t="shared" si="307"/>
        <v>91.023044536250808</v>
      </c>
      <c r="AS513" s="168" t="str">
        <f t="shared" si="308"/>
        <v>-0.0000134203206439225+4.76980919949537E-06i</v>
      </c>
      <c r="AT513" s="190">
        <f t="shared" si="309"/>
        <v>-96.928119582816834</v>
      </c>
      <c r="AU513" s="169">
        <f t="shared" si="310"/>
        <v>160.43392558219662</v>
      </c>
      <c r="AV513" s="225"/>
      <c r="AX513">
        <f t="shared" si="311"/>
        <v>0</v>
      </c>
      <c r="AY513">
        <f t="shared" si="312"/>
        <v>0</v>
      </c>
    </row>
    <row r="514" spans="14:51" x14ac:dyDescent="0.3">
      <c r="N514" s="170">
        <v>96</v>
      </c>
      <c r="O514" s="199">
        <f t="shared" si="313"/>
        <v>912010.83935591124</v>
      </c>
      <c r="P514" s="189" t="str">
        <f t="shared" si="279"/>
        <v>108.75</v>
      </c>
      <c r="Q514" s="160" t="str">
        <f t="shared" si="280"/>
        <v>1+14543.5854225955i</v>
      </c>
      <c r="R514" s="160">
        <f t="shared" si="288"/>
        <v>14543.585456974917</v>
      </c>
      <c r="S514" s="160">
        <f t="shared" si="289"/>
        <v>1.5707275679593435</v>
      </c>
      <c r="T514" s="160" t="str">
        <f t="shared" si="281"/>
        <v>1+0.538651311947982i</v>
      </c>
      <c r="U514" s="160">
        <f t="shared" si="290"/>
        <v>1.1358456038842966</v>
      </c>
      <c r="V514" s="160">
        <f t="shared" si="291"/>
        <v>0.49408847524316624</v>
      </c>
      <c r="W514" s="98" t="str">
        <f t="shared" si="282"/>
        <v>1-4.27864871901943i</v>
      </c>
      <c r="X514" s="160">
        <f t="shared" si="292"/>
        <v>4.3939543535142249</v>
      </c>
      <c r="Y514" s="160">
        <f t="shared" si="293"/>
        <v>-1.3411990037321484</v>
      </c>
      <c r="Z514" s="98" t="str">
        <f t="shared" si="283"/>
        <v>-15.8011871451114+8.25310569786163i</v>
      </c>
      <c r="AA514" s="160">
        <f t="shared" si="294"/>
        <v>17.826701008737142</v>
      </c>
      <c r="AB514" s="160">
        <f t="shared" si="295"/>
        <v>2.6602573708709243</v>
      </c>
      <c r="AC514" s="171" t="str">
        <f t="shared" si="296"/>
        <v>0.000748635236903913+0.00195500868702499i</v>
      </c>
      <c r="AD514" s="190">
        <f t="shared" si="297"/>
        <v>-53.582767191595835</v>
      </c>
      <c r="AE514" s="169">
        <f t="shared" si="298"/>
        <v>69.046561758093461</v>
      </c>
      <c r="AF514" s="98" t="str">
        <f t="shared" si="284"/>
        <v>-0.0000366300366300366</v>
      </c>
      <c r="AG514" s="98" t="str">
        <f t="shared" si="285"/>
        <v>0.395392984302241i</v>
      </c>
      <c r="AH514" s="98">
        <f t="shared" si="299"/>
        <v>0.39539298430224101</v>
      </c>
      <c r="AI514" s="98">
        <f t="shared" si="300"/>
        <v>1.5707963267948966</v>
      </c>
      <c r="AJ514" s="98" t="str">
        <f t="shared" si="286"/>
        <v>1+56.47284799948i</v>
      </c>
      <c r="AK514" s="98">
        <f t="shared" si="301"/>
        <v>56.481701117905196</v>
      </c>
      <c r="AL514" s="98">
        <f t="shared" si="302"/>
        <v>1.5530905525141743</v>
      </c>
      <c r="AM514" s="98" t="str">
        <f t="shared" si="287"/>
        <v>1+3896.62651196411i</v>
      </c>
      <c r="AN514" s="98">
        <f t="shared" si="303"/>
        <v>3896.6266402802289</v>
      </c>
      <c r="AO514" s="98">
        <f t="shared" si="304"/>
        <v>1.5705396945580179</v>
      </c>
      <c r="AP514" s="168" t="str">
        <f t="shared" si="305"/>
        <v>-0.000111517098238717+0.00639033023878263i</v>
      </c>
      <c r="AQ514" s="98">
        <f t="shared" si="306"/>
        <v>-43.888211582159641</v>
      </c>
      <c r="AR514" s="169">
        <f t="shared" si="307"/>
        <v>90.999762195236499</v>
      </c>
      <c r="AS514" s="168" t="str">
        <f t="shared" si="308"/>
        <v>-0.0000125766367590373+4.56600949639676E-06i</v>
      </c>
      <c r="AT514" s="190">
        <f t="shared" si="309"/>
        <v>-97.470978773755462</v>
      </c>
      <c r="AU514" s="169">
        <f t="shared" si="310"/>
        <v>160.04632395332999</v>
      </c>
      <c r="AV514" s="225"/>
      <c r="AX514">
        <f t="shared" si="311"/>
        <v>0</v>
      </c>
      <c r="AY514">
        <f t="shared" si="312"/>
        <v>0</v>
      </c>
    </row>
    <row r="515" spans="14:51" x14ac:dyDescent="0.3">
      <c r="N515" s="170">
        <v>97</v>
      </c>
      <c r="O515" s="199">
        <f t="shared" si="313"/>
        <v>933254.30079699249</v>
      </c>
      <c r="P515" s="189" t="str">
        <f t="shared" si="279"/>
        <v>108.75</v>
      </c>
      <c r="Q515" s="160" t="str">
        <f t="shared" si="280"/>
        <v>1+14882.3490455785i</v>
      </c>
      <c r="R515" s="160">
        <f t="shared" si="288"/>
        <v>14882.349079175347</v>
      </c>
      <c r="S515" s="160">
        <f t="shared" si="289"/>
        <v>1.5707291331015198</v>
      </c>
      <c r="T515" s="160" t="str">
        <f t="shared" si="281"/>
        <v>1+0.551198112799204i</v>
      </c>
      <c r="U515" s="160">
        <f t="shared" si="290"/>
        <v>1.1418490966644428</v>
      </c>
      <c r="V515" s="160">
        <f t="shared" si="291"/>
        <v>0.50376260180535504</v>
      </c>
      <c r="W515" s="98" t="str">
        <f t="shared" si="282"/>
        <v>1-4.37831125060361i</v>
      </c>
      <c r="X515" s="160">
        <f t="shared" si="292"/>
        <v>4.4910588291807247</v>
      </c>
      <c r="Y515" s="160">
        <f t="shared" si="293"/>
        <v>-1.3462494467563042</v>
      </c>
      <c r="Z515" s="98" t="str">
        <f t="shared" si="283"/>
        <v>-16.5930027007919+8.44534522517417i</v>
      </c>
      <c r="AA515" s="160">
        <f t="shared" si="294"/>
        <v>18.618581970731803</v>
      </c>
      <c r="AB515" s="160">
        <f t="shared" si="295"/>
        <v>2.670794599754049</v>
      </c>
      <c r="AC515" s="171" t="str">
        <f t="shared" si="296"/>
        <v>0.000730847818626258+0.00187526758370751i</v>
      </c>
      <c r="AD515" s="190">
        <f t="shared" si="297"/>
        <v>-53.924627319335286</v>
      </c>
      <c r="AE515" s="169">
        <f t="shared" si="298"/>
        <v>68.707650891819483</v>
      </c>
      <c r="AF515" s="98" t="str">
        <f t="shared" si="284"/>
        <v>-0.0000366300366300366</v>
      </c>
      <c r="AG515" s="98" t="str">
        <f t="shared" si="285"/>
        <v>0.404602870033458i</v>
      </c>
      <c r="AH515" s="98">
        <f t="shared" si="299"/>
        <v>0.40460287003345802</v>
      </c>
      <c r="AI515" s="98">
        <f t="shared" si="300"/>
        <v>1.5707963267948966</v>
      </c>
      <c r="AJ515" s="98" t="str">
        <f t="shared" si="286"/>
        <v>1+57.7882696120041i</v>
      </c>
      <c r="AK515" s="98">
        <f t="shared" si="301"/>
        <v>57.796921239367734</v>
      </c>
      <c r="AL515" s="98">
        <f t="shared" si="302"/>
        <v>1.5534935037682405</v>
      </c>
      <c r="AM515" s="98" t="str">
        <f t="shared" si="287"/>
        <v>1+3987.39060322827i</v>
      </c>
      <c r="AN515" s="98">
        <f t="shared" si="303"/>
        <v>3987.3907286235576</v>
      </c>
      <c r="AO515" s="98">
        <f t="shared" si="304"/>
        <v>1.5705455362206737</v>
      </c>
      <c r="AP515" s="168" t="str">
        <f t="shared" si="305"/>
        <v>-0.000106499504538238+0.00624495539073879i</v>
      </c>
      <c r="AQ515" s="98">
        <f t="shared" si="306"/>
        <v>-44.088150323901814</v>
      </c>
      <c r="AR515" s="169">
        <f t="shared" si="307"/>
        <v>90.977009491644537</v>
      </c>
      <c r="AS515" s="168" t="str">
        <f t="shared" si="308"/>
        <v>-0.0000117887973365285+4.36439695619827E-06i</v>
      </c>
      <c r="AT515" s="190">
        <f t="shared" si="309"/>
        <v>-98.012777643237072</v>
      </c>
      <c r="AU515" s="169">
        <f t="shared" si="310"/>
        <v>159.68466038346406</v>
      </c>
      <c r="AV515" s="225"/>
      <c r="AX515">
        <f t="shared" si="311"/>
        <v>0</v>
      </c>
      <c r="AY515">
        <f t="shared" si="312"/>
        <v>0</v>
      </c>
    </row>
    <row r="516" spans="14:51" x14ac:dyDescent="0.3">
      <c r="N516" s="170">
        <v>98</v>
      </c>
      <c r="O516" s="199">
        <f t="shared" si="313"/>
        <v>954992.58602143743</v>
      </c>
      <c r="P516" s="189" t="str">
        <f t="shared" si="279"/>
        <v>108.75</v>
      </c>
      <c r="Q516" s="160" t="str">
        <f t="shared" si="280"/>
        <v>1+15229.0034870166i</v>
      </c>
      <c r="R516" s="160">
        <f t="shared" si="288"/>
        <v>15229.003519848689</v>
      </c>
      <c r="S516" s="160">
        <f t="shared" si="289"/>
        <v>1.5707306626167108</v>
      </c>
      <c r="T516" s="160" t="str">
        <f t="shared" si="281"/>
        <v>1+0.564037166185802i</v>
      </c>
      <c r="U516" s="160">
        <f t="shared" si="290"/>
        <v>1.1481018791200153</v>
      </c>
      <c r="V516" s="160">
        <f t="shared" si="291"/>
        <v>0.51355639224636995</v>
      </c>
      <c r="W516" s="98" t="str">
        <f t="shared" si="282"/>
        <v>1-4.48029522076666i</v>
      </c>
      <c r="X516" s="160">
        <f t="shared" si="292"/>
        <v>4.5905386683073015</v>
      </c>
      <c r="Y516" s="160">
        <f t="shared" si="293"/>
        <v>-1.3511962118998671</v>
      </c>
      <c r="Z516" s="98" t="str">
        <f t="shared" si="283"/>
        <v>-17.4221353739357+8.64206258631245i</v>
      </c>
      <c r="AA516" s="160">
        <f t="shared" si="294"/>
        <v>19.447777424001004</v>
      </c>
      <c r="AB516" s="160">
        <f t="shared" si="295"/>
        <v>2.6811186793239647</v>
      </c>
      <c r="AC516" s="171" t="str">
        <f t="shared" si="296"/>
        <v>0.0007126007539467+0.00179925071228806i</v>
      </c>
      <c r="AD516" s="190">
        <f t="shared" si="297"/>
        <v>-54.265362381969133</v>
      </c>
      <c r="AE516" s="169">
        <f t="shared" si="298"/>
        <v>68.393751163078079</v>
      </c>
      <c r="AF516" s="98" t="str">
        <f t="shared" si="284"/>
        <v>-0.0000366300366300366</v>
      </c>
      <c r="AG516" s="98" t="str">
        <f t="shared" si="285"/>
        <v>0.414027281561918i</v>
      </c>
      <c r="AH516" s="98">
        <f t="shared" si="299"/>
        <v>0.41402728156191798</v>
      </c>
      <c r="AI516" s="98">
        <f t="shared" si="300"/>
        <v>1.5707963267948966</v>
      </c>
      <c r="AJ516" s="98" t="str">
        <f t="shared" si="286"/>
        <v>1+59.1343313299946i</v>
      </c>
      <c r="AK516" s="98">
        <f t="shared" si="301"/>
        <v>59.142786050756705</v>
      </c>
      <c r="AL516" s="98">
        <f t="shared" si="302"/>
        <v>1.5538872881620318</v>
      </c>
      <c r="AM516" s="98" t="str">
        <f t="shared" si="287"/>
        <v>1+4080.26886176962i</v>
      </c>
      <c r="AN516" s="98">
        <f t="shared" si="303"/>
        <v>4080.2689843105618</v>
      </c>
      <c r="AO516" s="98">
        <f t="shared" si="304"/>
        <v>1.5705512449108698</v>
      </c>
      <c r="AP516" s="168" t="str">
        <f t="shared" si="305"/>
        <v>-0.000101707607588199+0.00610288388513238i</v>
      </c>
      <c r="AQ516" s="98">
        <f t="shared" si="306"/>
        <v>-44.288091821912744</v>
      </c>
      <c r="AR516" s="169">
        <f t="shared" si="307"/>
        <v>90.954774391696958</v>
      </c>
      <c r="AS516" s="168" t="str">
        <f t="shared" si="308"/>
        <v>-0.0000110530950951852+4.16592217239632E-06i</v>
      </c>
      <c r="AT516" s="190">
        <f t="shared" si="309"/>
        <v>-98.553454203881898</v>
      </c>
      <c r="AU516" s="169">
        <f t="shared" si="310"/>
        <v>159.34852555477497</v>
      </c>
      <c r="AV516" s="225"/>
      <c r="AX516">
        <f t="shared" si="311"/>
        <v>0</v>
      </c>
      <c r="AY516">
        <f t="shared" si="312"/>
        <v>0</v>
      </c>
    </row>
    <row r="517" spans="14:51" x14ac:dyDescent="0.3">
      <c r="N517" s="170">
        <v>99</v>
      </c>
      <c r="O517" s="199">
        <f t="shared" si="313"/>
        <v>977237.22095581202</v>
      </c>
      <c r="P517" s="189" t="str">
        <f t="shared" si="279"/>
        <v>108.75</v>
      </c>
      <c r="Q517" s="160" t="str">
        <f t="shared" si="280"/>
        <v>1+15583.7325476833i</v>
      </c>
      <c r="R517" s="160">
        <f t="shared" si="288"/>
        <v>15583.732579768037</v>
      </c>
      <c r="S517" s="160">
        <f t="shared" si="289"/>
        <v>1.5707321573158859</v>
      </c>
      <c r="T517" s="160" t="str">
        <f t="shared" si="281"/>
        <v>1+0.577175279543827i</v>
      </c>
      <c r="U517" s="160">
        <f t="shared" si="290"/>
        <v>1.1546130535016894</v>
      </c>
      <c r="V517" s="160">
        <f t="shared" si="291"/>
        <v>0.52346752341936631</v>
      </c>
      <c r="W517" s="98" t="str">
        <f t="shared" si="282"/>
        <v>1-4.58465470275948i</v>
      </c>
      <c r="X517" s="160">
        <f t="shared" si="292"/>
        <v>4.6924469888891256</v>
      </c>
      <c r="Y517" s="160">
        <f t="shared" si="293"/>
        <v>-1.3560409531674751</v>
      </c>
      <c r="Z517" s="98" t="str">
        <f t="shared" si="283"/>
        <v>-18.2903438661065+8.84336208342522i</v>
      </c>
      <c r="AA517" s="160">
        <f t="shared" si="294"/>
        <v>20.316046162552954</v>
      </c>
      <c r="AB517" s="160">
        <f t="shared" si="295"/>
        <v>2.6912328112082604</v>
      </c>
      <c r="AC517" s="171" t="str">
        <f t="shared" si="296"/>
        <v>0.000694008984815017+0.00172678920687567i</v>
      </c>
      <c r="AD517" s="190">
        <f t="shared" si="297"/>
        <v>-54.604911483858665</v>
      </c>
      <c r="AE517" s="169">
        <f t="shared" si="298"/>
        <v>68.104451211661328</v>
      </c>
      <c r="AF517" s="98" t="str">
        <f t="shared" si="284"/>
        <v>-0.0000366300366300366</v>
      </c>
      <c r="AG517" s="98" t="str">
        <f t="shared" si="285"/>
        <v>0.423671215835361i</v>
      </c>
      <c r="AH517" s="98">
        <f t="shared" si="299"/>
        <v>0.42367121583536099</v>
      </c>
      <c r="AI517" s="98">
        <f t="shared" si="300"/>
        <v>1.5707963267948966</v>
      </c>
      <c r="AJ517" s="98" t="str">
        <f t="shared" si="286"/>
        <v>1+60.5117468531918i</v>
      </c>
      <c r="AK517" s="98">
        <f t="shared" si="301"/>
        <v>60.520009147593228</v>
      </c>
      <c r="AL517" s="98">
        <f t="shared" si="302"/>
        <v>1.5542721139964653</v>
      </c>
      <c r="AM517" s="98" t="str">
        <f t="shared" si="287"/>
        <v>1+4175.31053287022i</v>
      </c>
      <c r="AN517" s="98">
        <f t="shared" si="303"/>
        <v>4175.3106526217907</v>
      </c>
      <c r="AO517" s="98">
        <f t="shared" si="304"/>
        <v>1.5705568236554279</v>
      </c>
      <c r="AP517" s="168" t="str">
        <f t="shared" si="305"/>
        <v>-0.0000971312609858538+0.00596404091513131i</v>
      </c>
      <c r="AQ517" s="98">
        <f t="shared" si="306"/>
        <v>-44.488035952211014</v>
      </c>
      <c r="AR517" s="169">
        <f t="shared" si="307"/>
        <v>90.933045134054481</v>
      </c>
      <c r="AS517" s="168" t="str">
        <f t="shared" si="308"/>
        <v>-0.0000103660514494442+3.97137276778491E-06i</v>
      </c>
      <c r="AT517" s="190">
        <f t="shared" si="309"/>
        <v>-99.092947436069707</v>
      </c>
      <c r="AU517" s="169">
        <f t="shared" si="310"/>
        <v>159.03749634571574</v>
      </c>
      <c r="AV517" s="225"/>
      <c r="AX517">
        <f t="shared" si="311"/>
        <v>0</v>
      </c>
      <c r="AY517">
        <f t="shared" si="312"/>
        <v>0</v>
      </c>
    </row>
    <row r="518" spans="14:51" x14ac:dyDescent="0.3">
      <c r="N518" s="170">
        <v>100</v>
      </c>
      <c r="O518" s="199">
        <f t="shared" si="313"/>
        <v>1000000</v>
      </c>
      <c r="P518" s="189" t="str">
        <f t="shared" si="279"/>
        <v>108.75</v>
      </c>
      <c r="Q518" s="160" t="str">
        <f t="shared" si="280"/>
        <v>1+15946.7243096218i</v>
      </c>
      <c r="R518" s="160">
        <f t="shared" si="288"/>
        <v>15946.724340976201</v>
      </c>
      <c r="S518" s="160">
        <f t="shared" si="289"/>
        <v>1.5707336179915541</v>
      </c>
      <c r="T518" s="160" t="str">
        <f t="shared" si="281"/>
        <v>1+0.590619418874883i</v>
      </c>
      <c r="U518" s="160">
        <f t="shared" si="290"/>
        <v>1.1613919656826046</v>
      </c>
      <c r="V518" s="160">
        <f t="shared" si="291"/>
        <v>0.53349346108487783</v>
      </c>
      <c r="W518" s="98" t="str">
        <f t="shared" si="282"/>
        <v>1-4.69144502936078i</v>
      </c>
      <c r="X518" s="160">
        <f t="shared" si="292"/>
        <v>4.7968381735799657</v>
      </c>
      <c r="Y518" s="160">
        <f t="shared" si="293"/>
        <v>-1.3607853291818419</v>
      </c>
      <c r="Z518" s="98" t="str">
        <f t="shared" si="283"/>
        <v>-19.1994697639186+9.04935044817035i</v>
      </c>
      <c r="AA518" s="160">
        <f t="shared" si="294"/>
        <v>21.225229863288302</v>
      </c>
      <c r="AB518" s="160">
        <f t="shared" si="295"/>
        <v>2.7011402208652671</v>
      </c>
      <c r="AC518" s="171" t="str">
        <f t="shared" si="296"/>
        <v>0.000675175919100898+0.00165771960960143i</v>
      </c>
      <c r="AD518" s="190">
        <f t="shared" si="297"/>
        <v>-54.943214778284883</v>
      </c>
      <c r="AE518" s="169">
        <f t="shared" si="298"/>
        <v>67.839325953705398</v>
      </c>
      <c r="AF518" s="98" t="str">
        <f t="shared" si="284"/>
        <v>-0.0000366300366300366</v>
      </c>
      <c r="AG518" s="98" t="str">
        <f t="shared" si="285"/>
        <v>0.433539786195391i</v>
      </c>
      <c r="AH518" s="98">
        <f t="shared" si="299"/>
        <v>0.43353978619539102</v>
      </c>
      <c r="AI518" s="98">
        <f t="shared" si="300"/>
        <v>1.5707963267948966</v>
      </c>
      <c r="AJ518" s="98" t="str">
        <f t="shared" si="286"/>
        <v>1+61.9212465055381i</v>
      </c>
      <c r="AK518" s="98">
        <f t="shared" si="301"/>
        <v>61.929320751963807</v>
      </c>
      <c r="AL518" s="98">
        <f t="shared" si="302"/>
        <v>1.5546481848551164</v>
      </c>
      <c r="AM518" s="98" t="str">
        <f t="shared" si="287"/>
        <v>1+4272.56600888211i</v>
      </c>
      <c r="AN518" s="98">
        <f t="shared" si="303"/>
        <v>4272.5661259078006</v>
      </c>
      <c r="AO518" s="98">
        <f t="shared" si="304"/>
        <v>1.5705622754122706</v>
      </c>
      <c r="AP518" s="168" t="str">
        <f t="shared" si="305"/>
        <v>-0.0000927607739696223+0.00582835335094948i</v>
      </c>
      <c r="AQ518" s="98">
        <f t="shared" si="306"/>
        <v>-44.687982596388778</v>
      </c>
      <c r="AR518" s="169">
        <f t="shared" si="307"/>
        <v>90.911810223713914</v>
      </c>
      <c r="AS518" s="168" t="str">
        <f t="shared" si="308"/>
        <v>-9.72440548237661E-06+3.78139247656087E-06i</v>
      </c>
      <c r="AT518" s="190">
        <f t="shared" si="309"/>
        <v>-99.631197374673661</v>
      </c>
      <c r="AU518" s="169">
        <f t="shared" si="310"/>
        <v>158.75113617741928</v>
      </c>
      <c r="AV518" s="225"/>
      <c r="AX518">
        <f t="shared" si="311"/>
        <v>0</v>
      </c>
      <c r="AY518">
        <f t="shared" si="312"/>
        <v>0</v>
      </c>
    </row>
    <row r="519" spans="14:51" x14ac:dyDescent="0.3">
      <c r="N519" s="170">
        <v>1</v>
      </c>
      <c r="O519" s="199">
        <f>10^(6+(N519/100))</f>
        <v>1023292.9922807553</v>
      </c>
      <c r="P519" s="189" t="str">
        <f t="shared" si="279"/>
        <v>108.75</v>
      </c>
      <c r="Q519" s="160" t="str">
        <f t="shared" si="280"/>
        <v>1+16318.1712358691i</v>
      </c>
      <c r="R519" s="160">
        <f t="shared" si="288"/>
        <v>16318.171266509788</v>
      </c>
      <c r="S519" s="160">
        <f t="shared" si="289"/>
        <v>1.5707350454181852</v>
      </c>
      <c r="T519" s="160" t="str">
        <f t="shared" si="281"/>
        <v>1+0.6043767124396i</v>
      </c>
      <c r="U519" s="160">
        <f t="shared" si="290"/>
        <v>1.1684482061860075</v>
      </c>
      <c r="V519" s="160">
        <f t="shared" si="291"/>
        <v>0.54363145813748215</v>
      </c>
      <c r="W519" s="98" t="str">
        <f t="shared" si="282"/>
        <v>1-4.80072282221527i</v>
      </c>
      <c r="X519" s="160">
        <f t="shared" si="292"/>
        <v>4.9037678998642003</v>
      </c>
      <c r="Y519" s="160">
        <f t="shared" si="293"/>
        <v>-1.3654310007461268</v>
      </c>
      <c r="Z519" s="98" t="str">
        <f t="shared" si="283"/>
        <v>-20.1514414452902+9.26013689830544i</v>
      </c>
      <c r="AA519" s="160">
        <f t="shared" si="294"/>
        <v>22.177256992205269</v>
      </c>
      <c r="AB519" s="160">
        <f t="shared" si="295"/>
        <v>2.710844151914733</v>
      </c>
      <c r="AC519" s="171" t="str">
        <f t="shared" si="296"/>
        <v>0.000656194293027477+0.00159188399455359i</v>
      </c>
      <c r="AD519" s="190">
        <f t="shared" si="297"/>
        <v>-55.280213557291312</v>
      </c>
      <c r="AE519" s="169">
        <f t="shared" si="298"/>
        <v>67.597936944556281</v>
      </c>
      <c r="AF519" s="98" t="str">
        <f t="shared" si="284"/>
        <v>-0.0000366300366300366</v>
      </c>
      <c r="AG519" s="98" t="str">
        <f t="shared" si="285"/>
        <v>0.443638225088641i</v>
      </c>
      <c r="AH519" s="98">
        <f t="shared" si="299"/>
        <v>0.44363822508864098</v>
      </c>
      <c r="AI519" s="98">
        <f t="shared" si="300"/>
        <v>1.5707963267948966</v>
      </c>
      <c r="AJ519" s="98" t="str">
        <f t="shared" si="286"/>
        <v>1+63.3635776224063i</v>
      </c>
      <c r="AK519" s="98">
        <f t="shared" si="301"/>
        <v>63.37146809969537</v>
      </c>
      <c r="AL519" s="98">
        <f t="shared" si="302"/>
        <v>1.5550156997099891</v>
      </c>
      <c r="AM519" s="98" t="str">
        <f t="shared" si="287"/>
        <v>1+4372.08685594602i</v>
      </c>
      <c r="AN519" s="98">
        <f t="shared" si="303"/>
        <v>4372.0869703078815</v>
      </c>
      <c r="AO519" s="98">
        <f t="shared" si="304"/>
        <v>1.5705676030719904</v>
      </c>
      <c r="AP519" s="168" t="str">
        <f t="shared" si="305"/>
        <v>-0.0000885868910017113+0.00569574970338904i</v>
      </c>
      <c r="AQ519" s="98">
        <f t="shared" si="306"/>
        <v>-44.887931641361988</v>
      </c>
      <c r="AR519" s="169">
        <f t="shared" si="307"/>
        <v>90.891058426037972</v>
      </c>
      <c r="AS519" s="168" t="str">
        <f t="shared" si="308"/>
        <v>-9.12510300212074E-06+3.59649839596394E-06i</v>
      </c>
      <c r="AT519" s="190">
        <f t="shared" si="309"/>
        <v>-100.16814519865332</v>
      </c>
      <c r="AU519" s="169">
        <f t="shared" si="310"/>
        <v>158.4889953705943</v>
      </c>
      <c r="AV519" s="225"/>
      <c r="AX519">
        <f t="shared" si="311"/>
        <v>0</v>
      </c>
      <c r="AY519">
        <f t="shared" si="312"/>
        <v>0</v>
      </c>
    </row>
    <row r="520" spans="14:51" x14ac:dyDescent="0.3">
      <c r="N520" s="170">
        <v>2</v>
      </c>
      <c r="O520" s="199">
        <f t="shared" ref="O520:O560" si="314">10^(6+(N520/100))</f>
        <v>1047128.5480509007</v>
      </c>
      <c r="P520" s="189" t="str">
        <f t="shared" si="279"/>
        <v>108.75</v>
      </c>
      <c r="Q520" s="160" t="str">
        <f t="shared" si="280"/>
        <v>1+16698.2702725022i</v>
      </c>
      <c r="R520" s="160">
        <f t="shared" si="288"/>
        <v>16698.27030244542</v>
      </c>
      <c r="S520" s="160">
        <f t="shared" si="289"/>
        <v>1.5707364403526194</v>
      </c>
      <c r="T520" s="160" t="str">
        <f t="shared" si="281"/>
        <v>1+0.618454454537122i</v>
      </c>
      <c r="U520" s="160">
        <f t="shared" si="290"/>
        <v>1.1757916109314648</v>
      </c>
      <c r="V520" s="160">
        <f t="shared" si="291"/>
        <v>0.55387855358935301</v>
      </c>
      <c r="W520" s="98" t="str">
        <f t="shared" si="282"/>
        <v>1-4.91254602185516i</v>
      </c>
      <c r="X520" s="160">
        <f t="shared" si="292"/>
        <v>5.0132931708453841</v>
      </c>
      <c r="Y520" s="160">
        <f t="shared" si="293"/>
        <v>-1.3699796285698058</v>
      </c>
      <c r="Z520" s="98" t="str">
        <f t="shared" si="283"/>
        <v>-21.1482781697903+9.47583319559638i</v>
      </c>
      <c r="AA520" s="160">
        <f t="shared" si="294"/>
        <v>23.174146894709956</v>
      </c>
      <c r="AB520" s="160">
        <f t="shared" si="295"/>
        <v>2.7203478608135745</v>
      </c>
      <c r="AC520" s="171" t="str">
        <f t="shared" si="296"/>
        <v>0.000637146987505271+0.00152913004570097i</v>
      </c>
      <c r="AD520" s="190">
        <f t="shared" si="297"/>
        <v>-55.615850344074154</v>
      </c>
      <c r="AE520" s="169">
        <f t="shared" si="298"/>
        <v>67.379832755863276</v>
      </c>
      <c r="AF520" s="98" t="str">
        <f t="shared" si="284"/>
        <v>-0.0000366300366300366</v>
      </c>
      <c r="AG520" s="98" t="str">
        <f t="shared" si="285"/>
        <v>0.453971886841078i</v>
      </c>
      <c r="AH520" s="98">
        <f t="shared" si="299"/>
        <v>0.45397188684107798</v>
      </c>
      <c r="AI520" s="98">
        <f t="shared" si="300"/>
        <v>1.5707963267948966</v>
      </c>
      <c r="AJ520" s="98" t="str">
        <f t="shared" si="286"/>
        <v>1+64.8395049468459i</v>
      </c>
      <c r="AK520" s="98">
        <f t="shared" si="301"/>
        <v>64.847215836549637</v>
      </c>
      <c r="AL520" s="98">
        <f t="shared" si="302"/>
        <v>1.5553748530249822</v>
      </c>
      <c r="AM520" s="98" t="str">
        <f t="shared" si="287"/>
        <v>1+4473.92584133236i</v>
      </c>
      <c r="AN520" s="98">
        <f t="shared" si="303"/>
        <v>4473.9259530910285</v>
      </c>
      <c r="AO520" s="98">
        <f t="shared" si="304"/>
        <v>1.5705728094593816</v>
      </c>
      <c r="AP520" s="168" t="str">
        <f t="shared" si="305"/>
        <v>-0.0000846007722617915+0.00556616008809897i</v>
      </c>
      <c r="AQ520" s="98">
        <f t="shared" si="306"/>
        <v>-45.087882979130818</v>
      </c>
      <c r="AR520" s="169">
        <f t="shared" si="307"/>
        <v>90.870778760914774</v>
      </c>
      <c r="AS520" s="168" t="str">
        <f t="shared" si="308"/>
        <v>-8.56528575708091E-06+3.41709654934932E-06i</v>
      </c>
      <c r="AT520" s="190">
        <f t="shared" si="309"/>
        <v>-100.70373332320499</v>
      </c>
      <c r="AU520" s="169">
        <f t="shared" si="310"/>
        <v>158.25061151677806</v>
      </c>
      <c r="AV520" s="225"/>
      <c r="AX520">
        <f t="shared" si="311"/>
        <v>0</v>
      </c>
      <c r="AY520">
        <f t="shared" si="312"/>
        <v>0</v>
      </c>
    </row>
    <row r="521" spans="14:51" x14ac:dyDescent="0.3">
      <c r="N521" s="170">
        <v>3</v>
      </c>
      <c r="O521" s="199">
        <f t="shared" si="314"/>
        <v>1071519.3052376076</v>
      </c>
      <c r="P521" s="189" t="str">
        <f t="shared" si="279"/>
        <v>108.75</v>
      </c>
      <c r="Q521" s="160" t="str">
        <f t="shared" si="280"/>
        <v>1+17087.2229530616i</v>
      </c>
      <c r="R521" s="160">
        <f t="shared" si="288"/>
        <v>17087.222982323226</v>
      </c>
      <c r="S521" s="160">
        <f t="shared" si="289"/>
        <v>1.5707378035344695</v>
      </c>
      <c r="T521" s="160" t="str">
        <f t="shared" si="281"/>
        <v>1+0.632860109372653i</v>
      </c>
      <c r="U521" s="160">
        <f t="shared" si="290"/>
        <v>1.1834322617011783</v>
      </c>
      <c r="V521" s="160">
        <f t="shared" si="291"/>
        <v>0.56423157235839394</v>
      </c>
      <c r="W521" s="98" t="str">
        <f t="shared" si="282"/>
        <v>1-5.02697391842108i</v>
      </c>
      <c r="X521" s="160">
        <f t="shared" si="292"/>
        <v>5.1254723466706738</v>
      </c>
      <c r="Y521" s="160">
        <f t="shared" si="293"/>
        <v>-1.3744328711515483</v>
      </c>
      <c r="Z521" s="98" t="str">
        <f t="shared" si="283"/>
        <v>-22.1920943617599+9.69655370507512i</v>
      </c>
      <c r="AA521" s="160">
        <f t="shared" si="294"/>
        <v>24.218014078711356</v>
      </c>
      <c r="AB521" s="160">
        <f t="shared" si="295"/>
        <v>2.7296546118657687</v>
      </c>
      <c r="AC521" s="171" t="str">
        <f t="shared" si="296"/>
        <v>0.000618107798859849+0.0014693110942117i</v>
      </c>
      <c r="AD521" s="190">
        <f t="shared" si="297"/>
        <v>-55.950068987564805</v>
      </c>
      <c r="AE521" s="169">
        <f t="shared" si="298"/>
        <v>67.18454937063089</v>
      </c>
      <c r="AF521" s="98" t="str">
        <f t="shared" si="284"/>
        <v>-0.0000366300366300366</v>
      </c>
      <c r="AG521" s="98" t="str">
        <f t="shared" si="285"/>
        <v>0.464546250496947i</v>
      </c>
      <c r="AH521" s="98">
        <f t="shared" si="299"/>
        <v>0.46454625049694698</v>
      </c>
      <c r="AI521" s="98">
        <f t="shared" si="300"/>
        <v>1.5707963267948966</v>
      </c>
      <c r="AJ521" s="98" t="str">
        <f t="shared" si="286"/>
        <v>1+66.3498110350607i</v>
      </c>
      <c r="AK521" s="98">
        <f t="shared" si="301"/>
        <v>66.357346423649744</v>
      </c>
      <c r="AL521" s="98">
        <f t="shared" si="302"/>
        <v>1.5557258348571044</v>
      </c>
      <c r="AM521" s="98" t="str">
        <f t="shared" si="287"/>
        <v>1+4578.13696141918i</v>
      </c>
      <c r="AN521" s="98">
        <f t="shared" si="303"/>
        <v>4578.1370706339103</v>
      </c>
      <c r="AO521" s="98">
        <f t="shared" si="304"/>
        <v>1.5705778973349387</v>
      </c>
      <c r="AP521" s="168" t="str">
        <f t="shared" si="305"/>
        <v>-0.0000807939750113805+0.00543951619053996i</v>
      </c>
      <c r="AQ521" s="98">
        <f t="shared" si="306"/>
        <v>-45.287836506551642</v>
      </c>
      <c r="AR521" s="169">
        <f t="shared" si="307"/>
        <v>90.850960497044525</v>
      </c>
      <c r="AS521" s="168" t="str">
        <f t="shared" si="308"/>
        <v>-8.04228087195995E-06+3.24349589556748E-06i</v>
      </c>
      <c r="AT521" s="190">
        <f t="shared" si="309"/>
        <v>-101.23790549411645</v>
      </c>
      <c r="AU521" s="169">
        <f t="shared" si="310"/>
        <v>158.03550986767544</v>
      </c>
      <c r="AV521" s="225"/>
      <c r="AX521">
        <f t="shared" si="311"/>
        <v>0</v>
      </c>
      <c r="AY521">
        <f t="shared" si="312"/>
        <v>0</v>
      </c>
    </row>
    <row r="522" spans="14:51" x14ac:dyDescent="0.3">
      <c r="N522" s="170">
        <v>4</v>
      </c>
      <c r="O522" s="199">
        <f t="shared" si="314"/>
        <v>1096478.196143186</v>
      </c>
      <c r="P522" s="189" t="str">
        <f t="shared" si="279"/>
        <v>108.75</v>
      </c>
      <c r="Q522" s="160" t="str">
        <f t="shared" si="280"/>
        <v>1+17485.2355054068i</v>
      </c>
      <c r="R522" s="160">
        <f t="shared" si="288"/>
        <v>17485.235534002353</v>
      </c>
      <c r="S522" s="160">
        <f t="shared" si="289"/>
        <v>1.5707391356865126</v>
      </c>
      <c r="T522" s="160" t="str">
        <f t="shared" si="281"/>
        <v>1+0.647601315015068i</v>
      </c>
      <c r="U522" s="160">
        <f t="shared" si="290"/>
        <v>1.1913804863305615</v>
      </c>
      <c r="V522" s="160">
        <f t="shared" si="291"/>
        <v>0.57468712590489557</v>
      </c>
      <c r="W522" s="98" t="str">
        <f t="shared" si="282"/>
        <v>1-5.14406718309841i</v>
      </c>
      <c r="X522" s="160">
        <f t="shared" si="292"/>
        <v>5.240365176610311</v>
      </c>
      <c r="Y522" s="160">
        <f t="shared" si="293"/>
        <v>-1.3787923828125448</v>
      </c>
      <c r="Z522" s="98" t="str">
        <f t="shared" si="283"/>
        <v>-23.2851040952892+9.92241545567735i</v>
      </c>
      <c r="AA522" s="160">
        <f t="shared" si="294"/>
        <v>25.311072699581867</v>
      </c>
      <c r="AB522" s="160">
        <f t="shared" si="295"/>
        <v>2.7387676725548888</v>
      </c>
      <c r="AC522" s="171" t="str">
        <f t="shared" si="296"/>
        <v>0.000599142164745952+0.00141228612016527i</v>
      </c>
      <c r="AD522" s="190">
        <f t="shared" si="297"/>
        <v>-56.282814758788298</v>
      </c>
      <c r="AE522" s="169">
        <f t="shared" si="298"/>
        <v>67.011610599782543</v>
      </c>
      <c r="AF522" s="98" t="str">
        <f t="shared" si="284"/>
        <v>-0.0000366300366300366</v>
      </c>
      <c r="AG522" s="98" t="str">
        <f t="shared" si="285"/>
        <v>0.475366922723825i</v>
      </c>
      <c r="AH522" s="98">
        <f t="shared" si="299"/>
        <v>0.47536692272382502</v>
      </c>
      <c r="AI522" s="98">
        <f t="shared" si="300"/>
        <v>1.5707963267948966</v>
      </c>
      <c r="AJ522" s="98" t="str">
        <f t="shared" si="286"/>
        <v>1+67.8952966713299i</v>
      </c>
      <c r="AK522" s="98">
        <f t="shared" si="301"/>
        <v>67.902660552351705</v>
      </c>
      <c r="AL522" s="98">
        <f t="shared" si="302"/>
        <v>1.5560688309554751</v>
      </c>
      <c r="AM522" s="98" t="str">
        <f t="shared" si="287"/>
        <v>1+4684.77547032175i</v>
      </c>
      <c r="AN522" s="98">
        <f t="shared" si="303"/>
        <v>4684.7755770504491</v>
      </c>
      <c r="AO522" s="98">
        <f t="shared" si="304"/>
        <v>1.5705828693963197</v>
      </c>
      <c r="AP522" s="168" t="str">
        <f t="shared" si="305"/>
        <v>-0.0000771584357904139+0.00531575123164758i</v>
      </c>
      <c r="AQ522" s="98">
        <f t="shared" si="306"/>
        <v>-45.487792125118666</v>
      </c>
      <c r="AR522" s="169">
        <f t="shared" si="307"/>
        <v>90.831593146351025</v>
      </c>
      <c r="AS522" s="168" t="str">
        <f t="shared" si="308"/>
        <v>-0.0000075535905549552+3.07592091225983E-06i</v>
      </c>
      <c r="AT522" s="190">
        <f t="shared" si="309"/>
        <v>-101.77060688390696</v>
      </c>
      <c r="AU522" s="169">
        <f t="shared" si="310"/>
        <v>157.84320374613358</v>
      </c>
      <c r="AV522" s="225"/>
      <c r="AX522">
        <f t="shared" si="311"/>
        <v>0</v>
      </c>
      <c r="AY522">
        <f t="shared" si="312"/>
        <v>0</v>
      </c>
    </row>
    <row r="523" spans="14:51" x14ac:dyDescent="0.3">
      <c r="N523" s="170">
        <v>5</v>
      </c>
      <c r="O523" s="199">
        <f t="shared" si="314"/>
        <v>1122018.4543019643</v>
      </c>
      <c r="P523" s="189" t="str">
        <f t="shared" si="279"/>
        <v>108.75</v>
      </c>
      <c r="Q523" s="160" t="str">
        <f t="shared" si="280"/>
        <v>1+17892.5189610614i</v>
      </c>
      <c r="R523" s="160">
        <f t="shared" si="288"/>
        <v>17892.518989006039</v>
      </c>
      <c r="S523" s="160">
        <f t="shared" si="289"/>
        <v>1.5707404375150733</v>
      </c>
      <c r="T523" s="160" t="str">
        <f t="shared" si="281"/>
        <v>1+0.66268588744672i</v>
      </c>
      <c r="U523" s="160">
        <f t="shared" si="290"/>
        <v>1.1996468586300915</v>
      </c>
      <c r="V523" s="160">
        <f t="shared" si="291"/>
        <v>0.58524161375626071</v>
      </c>
      <c r="W523" s="98" t="str">
        <f t="shared" si="282"/>
        <v>1-5.26388790028601i</v>
      </c>
      <c r="X523" s="160">
        <f t="shared" si="292"/>
        <v>5.3580328318121984</v>
      </c>
      <c r="Y523" s="160">
        <f t="shared" si="293"/>
        <v>-1.3830598118737465</v>
      </c>
      <c r="Z523" s="98" t="str">
        <f t="shared" si="283"/>
        <v>-24.4296257905651+10.1535382022929i</v>
      </c>
      <c r="AA523" s="160">
        <f t="shared" si="294"/>
        <v>26.455641256496975</v>
      </c>
      <c r="AB523" s="160">
        <f t="shared" si="295"/>
        <v>2.7476903091874894</v>
      </c>
      <c r="AC523" s="171" t="str">
        <f t="shared" si="296"/>
        <v>0.000580307846288748+0.00135791972325664i</v>
      </c>
      <c r="AD523" s="190">
        <f t="shared" si="297"/>
        <v>-56.614034448527299</v>
      </c>
      <c r="AE523" s="169">
        <f t="shared" si="298"/>
        <v>66.860528523550443</v>
      </c>
      <c r="AF523" s="98" t="str">
        <f t="shared" si="284"/>
        <v>-0.0000366300366300366</v>
      </c>
      <c r="AG523" s="98" t="str">
        <f t="shared" si="285"/>
        <v>0.486439640785357i</v>
      </c>
      <c r="AH523" s="98">
        <f t="shared" si="299"/>
        <v>0.48643964078535701</v>
      </c>
      <c r="AI523" s="98">
        <f t="shared" si="300"/>
        <v>1.5707963267948966</v>
      </c>
      <c r="AJ523" s="98" t="str">
        <f t="shared" si="286"/>
        <v>1+69.4767812925947i</v>
      </c>
      <c r="AK523" s="98">
        <f t="shared" si="301"/>
        <v>69.483977568782265</v>
      </c>
      <c r="AL523" s="98">
        <f t="shared" si="302"/>
        <v>1.5564040228581633</v>
      </c>
      <c r="AM523" s="98" t="str">
        <f t="shared" si="287"/>
        <v>1+4793.89790918902i</v>
      </c>
      <c r="AN523" s="98">
        <f t="shared" si="303"/>
        <v>4793.8980134882777</v>
      </c>
      <c r="AO523" s="98">
        <f t="shared" si="304"/>
        <v>1.5705877282797762</v>
      </c>
      <c r="AP523" s="168" t="str">
        <f t="shared" si="305"/>
        <v>-0.0000736864534091003+0.00519479993418392i</v>
      </c>
      <c r="AQ523" s="98">
        <f t="shared" si="306"/>
        <v>-45.687749740755628</v>
      </c>
      <c r="AR523" s="169">
        <f t="shared" si="307"/>
        <v>90.812666458515238</v>
      </c>
      <c r="AS523" s="168" t="str">
        <f t="shared" si="308"/>
        <v>-7.09688211607913E-06+2.91452287328615E-06i</v>
      </c>
      <c r="AT523" s="190">
        <f t="shared" si="309"/>
        <v>-102.30178418928291</v>
      </c>
      <c r="AU523" s="169">
        <f t="shared" si="310"/>
        <v>157.6731949820657</v>
      </c>
      <c r="AV523" s="225"/>
      <c r="AX523">
        <f t="shared" si="311"/>
        <v>0</v>
      </c>
      <c r="AY523">
        <f t="shared" si="312"/>
        <v>0</v>
      </c>
    </row>
    <row r="524" spans="14:51" x14ac:dyDescent="0.3">
      <c r="N524" s="170">
        <v>6</v>
      </c>
      <c r="O524" s="199">
        <f t="shared" si="314"/>
        <v>1148153.6214968837</v>
      </c>
      <c r="P524" s="189" t="str">
        <f t="shared" si="279"/>
        <v>108.75</v>
      </c>
      <c r="Q524" s="160" t="str">
        <f t="shared" si="280"/>
        <v>1+18309.2892671046i</v>
      </c>
      <c r="R524" s="160">
        <f t="shared" si="288"/>
        <v>18309.289294413142</v>
      </c>
      <c r="S524" s="160">
        <f t="shared" si="289"/>
        <v>1.5707417097103984</v>
      </c>
      <c r="T524" s="160" t="str">
        <f t="shared" si="281"/>
        <v>1+0.678121824707581i</v>
      </c>
      <c r="U524" s="160">
        <f t="shared" si="290"/>
        <v>1.2082421980483629</v>
      </c>
      <c r="V524" s="160">
        <f t="shared" si="291"/>
        <v>0.59589122595411048</v>
      </c>
      <c r="W524" s="98" t="str">
        <f t="shared" si="282"/>
        <v>1-5.38649960051412i</v>
      </c>
      <c r="X524" s="160">
        <f t="shared" si="292"/>
        <v>5.4785379387514297</v>
      </c>
      <c r="Y524" s="160">
        <f t="shared" si="293"/>
        <v>-1.3872367989704844</v>
      </c>
      <c r="Z524" s="98" t="str">
        <f t="shared" si="283"/>
        <v>-25.6280871315521+10.3900444892612i</v>
      </c>
      <c r="AA524" s="160">
        <f t="shared" si="294"/>
        <v>27.654147510115969</v>
      </c>
      <c r="AB524" s="160">
        <f t="shared" si="295"/>
        <v>2.7564257828353713</v>
      </c>
      <c r="AC524" s="171" t="str">
        <f t="shared" si="296"/>
        <v>0.000561655567695051+0.00130608206670683i</v>
      </c>
      <c r="AD524" s="190">
        <f t="shared" si="297"/>
        <v>-56.943676465764845</v>
      </c>
      <c r="AE524" s="169">
        <f t="shared" si="298"/>
        <v>66.730803960720323</v>
      </c>
      <c r="AF524" s="98" t="str">
        <f t="shared" si="284"/>
        <v>-0.0000366300366300366</v>
      </c>
      <c r="AG524" s="98" t="str">
        <f t="shared" si="285"/>
        <v>0.497770275583223i</v>
      </c>
      <c r="AH524" s="98">
        <f t="shared" si="299"/>
        <v>0.49777027558322301</v>
      </c>
      <c r="AI524" s="98">
        <f t="shared" si="300"/>
        <v>1.5707963267948966</v>
      </c>
      <c r="AJ524" s="98" t="str">
        <f t="shared" si="286"/>
        <v>1+71.0951034229347i</v>
      </c>
      <c r="AK524" s="98">
        <f t="shared" si="301"/>
        <v>71.102135908267769</v>
      </c>
      <c r="AL524" s="98">
        <f t="shared" si="302"/>
        <v>1.556731587986899</v>
      </c>
      <c r="AM524" s="98" t="str">
        <f t="shared" si="287"/>
        <v>1+4905.56213618248i</v>
      </c>
      <c r="AN524" s="98">
        <f t="shared" si="303"/>
        <v>4905.5622381075973</v>
      </c>
      <c r="AO524" s="98">
        <f t="shared" si="304"/>
        <v>1.5705924765615518</v>
      </c>
      <c r="AP524" s="168" t="str">
        <f t="shared" si="305"/>
        <v>-0.0000703706726998032+0.00507659848976831i</v>
      </c>
      <c r="AQ524" s="98">
        <f t="shared" si="306"/>
        <v>-45.887709263616827</v>
      </c>
      <c r="AR524" s="169">
        <f t="shared" si="307"/>
        <v>90.794170415628699</v>
      </c>
      <c r="AS524" s="168" t="str">
        <f t="shared" si="308"/>
        <v>-6.66997832748166E-06+2.75938993309535E-06i</v>
      </c>
      <c r="AT524" s="190">
        <f t="shared" si="309"/>
        <v>-102.83138572938168</v>
      </c>
      <c r="AU524" s="169">
        <f t="shared" si="310"/>
        <v>157.52497437634904</v>
      </c>
      <c r="AV524" s="225"/>
      <c r="AX524">
        <f t="shared" si="311"/>
        <v>0</v>
      </c>
      <c r="AY524">
        <f t="shared" si="312"/>
        <v>0</v>
      </c>
    </row>
    <row r="525" spans="14:51" x14ac:dyDescent="0.3">
      <c r="N525" s="170">
        <v>7</v>
      </c>
      <c r="O525" s="199">
        <f t="shared" si="314"/>
        <v>1174897.5549395324</v>
      </c>
      <c r="P525" s="189" t="str">
        <f t="shared" si="279"/>
        <v>108.75</v>
      </c>
      <c r="Q525" s="160" t="str">
        <f t="shared" si="280"/>
        <v>1+18735.7674006694i</v>
      </c>
      <c r="R525" s="160">
        <f t="shared" si="288"/>
        <v>18735.767427356321</v>
      </c>
      <c r="S525" s="160">
        <f t="shared" si="289"/>
        <v>1.5707429529470225</v>
      </c>
      <c r="T525" s="160" t="str">
        <f t="shared" si="281"/>
        <v>1+0.693917311135907i</v>
      </c>
      <c r="U525" s="160">
        <f t="shared" si="290"/>
        <v>1.2171775690892792</v>
      </c>
      <c r="V525" s="160">
        <f t="shared" si="291"/>
        <v>0.60663194645214302</v>
      </c>
      <c r="W525" s="98" t="str">
        <f t="shared" si="282"/>
        <v>1-5.51196729412919i</v>
      </c>
      <c r="X525" s="160">
        <f t="shared" si="292"/>
        <v>5.6019446133954114</v>
      </c>
      <c r="Y525" s="160">
        <f t="shared" si="293"/>
        <v>-1.3913249754980237</v>
      </c>
      <c r="Z525" s="98" t="str">
        <f t="shared" si="283"/>
        <v>-26.8830302154351+10.6320597153463i</v>
      </c>
      <c r="AA525" s="160">
        <f t="shared" si="294"/>
        <v>28.909133632032038</v>
      </c>
      <c r="AB525" s="160">
        <f t="shared" si="295"/>
        <v>2.7649773455645121</v>
      </c>
      <c r="AC525" s="171" t="str">
        <f t="shared" si="296"/>
        <v>0.000543229614737809+0.00125664879822509i</v>
      </c>
      <c r="AD525" s="190">
        <f t="shared" si="297"/>
        <v>-57.271690936332895</v>
      </c>
      <c r="AE525" s="169">
        <f t="shared" si="298"/>
        <v>66.621926968422144</v>
      </c>
      <c r="AF525" s="98" t="str">
        <f t="shared" si="284"/>
        <v>-0.0000366300366300366</v>
      </c>
      <c r="AG525" s="98" t="str">
        <f t="shared" si="285"/>
        <v>0.509364834769973i</v>
      </c>
      <c r="AH525" s="98">
        <f t="shared" si="299"/>
        <v>0.50936483476997296</v>
      </c>
      <c r="AI525" s="98">
        <f t="shared" si="300"/>
        <v>1.5707963267948966</v>
      </c>
      <c r="AJ525" s="98" t="str">
        <f t="shared" si="286"/>
        <v>1+72.7511211181647i</v>
      </c>
      <c r="AK525" s="98">
        <f t="shared" si="301"/>
        <v>72.757993539884467</v>
      </c>
      <c r="AL525" s="98">
        <f t="shared" si="302"/>
        <v>1.5570516997397092</v>
      </c>
      <c r="AM525" s="98" t="str">
        <f t="shared" si="287"/>
        <v>1+5019.82735715335i</v>
      </c>
      <c r="AN525" s="98">
        <f t="shared" si="303"/>
        <v>5019.8274567583685</v>
      </c>
      <c r="AO525" s="98">
        <f t="shared" si="304"/>
        <v>1.5705971167592474</v>
      </c>
      <c r="AP525" s="168" t="str">
        <f t="shared" si="305"/>
        <v>-0.0000672040689952216+0.00496108452657754i</v>
      </c>
      <c r="AQ525" s="98">
        <f t="shared" si="306"/>
        <v>-46.087670607897131</v>
      </c>
      <c r="AR525" s="169">
        <f t="shared" si="307"/>
        <v>90.776095226964202</v>
      </c>
      <c r="AS525" s="168" t="str">
        <f t="shared" si="308"/>
        <v>-6.27084814872584E-06+2.61055612351574E-06i</v>
      </c>
      <c r="AT525" s="190">
        <f t="shared" si="309"/>
        <v>-103.35936154423003</v>
      </c>
      <c r="AU525" s="169">
        <f t="shared" si="310"/>
        <v>157.39802219538635</v>
      </c>
      <c r="AV525" s="225"/>
      <c r="AX525">
        <f t="shared" si="311"/>
        <v>0</v>
      </c>
      <c r="AY525">
        <f t="shared" si="312"/>
        <v>0</v>
      </c>
    </row>
    <row r="526" spans="14:51" x14ac:dyDescent="0.3">
      <c r="N526" s="170">
        <v>8</v>
      </c>
      <c r="O526" s="199">
        <f t="shared" si="314"/>
        <v>1202264.4346174158</v>
      </c>
      <c r="P526" s="189" t="str">
        <f t="shared" si="279"/>
        <v>108.75</v>
      </c>
      <c r="Q526" s="160" t="str">
        <f t="shared" si="280"/>
        <v>1+19172.1794861072i</v>
      </c>
      <c r="R526" s="160">
        <f t="shared" si="288"/>
        <v>19172.179512186656</v>
      </c>
      <c r="S526" s="160">
        <f t="shared" si="289"/>
        <v>1.5707441678841261</v>
      </c>
      <c r="T526" s="160" t="str">
        <f t="shared" si="281"/>
        <v>1+0.710080721707677i</v>
      </c>
      <c r="U526" s="160">
        <f t="shared" si="290"/>
        <v>1.2264642804993937</v>
      </c>
      <c r="V526" s="160">
        <f t="shared" si="291"/>
        <v>0.6174595574864884</v>
      </c>
      <c r="W526" s="98" t="str">
        <f t="shared" si="282"/>
        <v>1-5.64035750576312i</v>
      </c>
      <c r="X526" s="160">
        <f t="shared" si="292"/>
        <v>5.7283184961049756</v>
      </c>
      <c r="Y526" s="160">
        <f t="shared" si="293"/>
        <v>-1.3953259621816787</v>
      </c>
      <c r="Z526" s="98" t="str">
        <f t="shared" si="283"/>
        <v>-28.1971169447479+10.8797122002244i</v>
      </c>
      <c r="AA526" s="160">
        <f t="shared" si="294"/>
        <v>30.223261596914071</v>
      </c>
      <c r="AB526" s="160">
        <f t="shared" si="295"/>
        <v>2.7733482369385367</v>
      </c>
      <c r="AC526" s="171" t="str">
        <f t="shared" si="296"/>
        <v>0.000525068393641396+0.0012095009515172i</v>
      </c>
      <c r="AD526" s="190">
        <f t="shared" si="297"/>
        <v>-57.598029801146822</v>
      </c>
      <c r="AE526" s="169">
        <f t="shared" si="298"/>
        <v>66.533377374775554</v>
      </c>
      <c r="AF526" s="98" t="str">
        <f t="shared" si="284"/>
        <v>-0.0000366300366300366</v>
      </c>
      <c r="AG526" s="98" t="str">
        <f t="shared" si="285"/>
        <v>0.521229465934358i</v>
      </c>
      <c r="AH526" s="98">
        <f t="shared" si="299"/>
        <v>0.52122946593435804</v>
      </c>
      <c r="AI526" s="98">
        <f t="shared" si="300"/>
        <v>1.5707963267948966</v>
      </c>
      <c r="AJ526" s="98" t="str">
        <f t="shared" si="286"/>
        <v>1+74.4457124207863i</v>
      </c>
      <c r="AK526" s="98">
        <f t="shared" si="301"/>
        <v>74.452428421364559</v>
      </c>
      <c r="AL526" s="98">
        <f t="shared" si="302"/>
        <v>1.5573645275815129</v>
      </c>
      <c r="AM526" s="98" t="str">
        <f t="shared" si="287"/>
        <v>1+5136.75415703424i</v>
      </c>
      <c r="AN526" s="98">
        <f t="shared" si="303"/>
        <v>5136.754254371971</v>
      </c>
      <c r="AO526" s="98">
        <f t="shared" si="304"/>
        <v>1.5706016513331562</v>
      </c>
      <c r="AP526" s="168" t="str">
        <f t="shared" si="305"/>
        <v>-0.0000641799333006274+0.00484819707770589i</v>
      </c>
      <c r="AQ526" s="98">
        <f t="shared" si="306"/>
        <v>-46.287633691650065</v>
      </c>
      <c r="AR526" s="169">
        <f t="shared" si="307"/>
        <v>90.758431323861544</v>
      </c>
      <c r="AS526" s="168" t="str">
        <f t="shared" si="308"/>
        <v>-5.89759783311035E-06+2.46800936125252E-06i</v>
      </c>
      <c r="AT526" s="190">
        <f t="shared" si="309"/>
        <v>-103.88566349279688</v>
      </c>
      <c r="AU526" s="169">
        <f t="shared" si="310"/>
        <v>157.29180869863708</v>
      </c>
      <c r="AV526" s="225"/>
      <c r="AX526">
        <f t="shared" si="311"/>
        <v>0</v>
      </c>
      <c r="AY526">
        <f t="shared" si="312"/>
        <v>0</v>
      </c>
    </row>
    <row r="527" spans="14:51" x14ac:dyDescent="0.3">
      <c r="N527" s="170">
        <v>9</v>
      </c>
      <c r="O527" s="199">
        <f t="shared" si="314"/>
        <v>1230268.770812382</v>
      </c>
      <c r="P527" s="189" t="str">
        <f t="shared" si="279"/>
        <v>108.75</v>
      </c>
      <c r="Q527" s="160" t="str">
        <f t="shared" si="280"/>
        <v>1+19618.7569148823i</v>
      </c>
      <c r="R527" s="160">
        <f t="shared" si="288"/>
        <v>19618.756940368115</v>
      </c>
      <c r="S527" s="160">
        <f t="shared" si="289"/>
        <v>1.570745355165885</v>
      </c>
      <c r="T527" s="160" t="str">
        <f t="shared" si="281"/>
        <v>1+0.726620626477125i</v>
      </c>
      <c r="U527" s="160">
        <f t="shared" si="290"/>
        <v>1.2361138842444939</v>
      </c>
      <c r="V527" s="160">
        <f t="shared" si="291"/>
        <v>0.62836964493301983</v>
      </c>
      <c r="W527" s="98" t="str">
        <f t="shared" si="282"/>
        <v>1-5.77173830960554i</v>
      </c>
      <c r="X527" s="160">
        <f t="shared" si="292"/>
        <v>5.85772678729285</v>
      </c>
      <c r="Y527" s="160">
        <f t="shared" si="293"/>
        <v>-1.3992413677652502</v>
      </c>
      <c r="Z527" s="98" t="str">
        <f t="shared" si="283"/>
        <v>-29.5731346736261+11.133133252521i</v>
      </c>
      <c r="AA527" s="160">
        <f t="shared" si="294"/>
        <v>31.599318828778813</v>
      </c>
      <c r="AB527" s="160">
        <f t="shared" si="295"/>
        <v>2.7815416807845117</v>
      </c>
      <c r="AC527" s="171" t="str">
        <f t="shared" si="296"/>
        <v>0.000507204951986881+0.00116452483150212i</v>
      </c>
      <c r="AD527" s="190">
        <f t="shared" si="297"/>
        <v>-57.922646913369533</v>
      </c>
      <c r="AE527" s="169">
        <f t="shared" si="298"/>
        <v>66.46462534627409</v>
      </c>
      <c r="AF527" s="98" t="str">
        <f t="shared" si="284"/>
        <v>-0.0000366300366300366</v>
      </c>
      <c r="AG527" s="98" t="str">
        <f t="shared" si="285"/>
        <v>0.533370459860867i</v>
      </c>
      <c r="AH527" s="98">
        <f t="shared" si="299"/>
        <v>0.53337045986086695</v>
      </c>
      <c r="AI527" s="98">
        <f t="shared" si="300"/>
        <v>1.5707963267948966</v>
      </c>
      <c r="AJ527" s="98" t="str">
        <f t="shared" si="286"/>
        <v>1+76.1797758255388i</v>
      </c>
      <c r="AK527" s="98">
        <f t="shared" si="301"/>
        <v>76.18633896460274</v>
      </c>
      <c r="AL527" s="98">
        <f t="shared" si="302"/>
        <v>1.557670237132722</v>
      </c>
      <c r="AM527" s="98" t="str">
        <f t="shared" si="287"/>
        <v>1+5256.40453196216i</v>
      </c>
      <c r="AN527" s="98">
        <f t="shared" si="303"/>
        <v>5256.4046270842136</v>
      </c>
      <c r="AO527" s="98">
        <f t="shared" si="304"/>
        <v>1.570606082687569</v>
      </c>
      <c r="AP527" s="168" t="str">
        <f t="shared" si="305"/>
        <v>-0.0000612918581292978+0.00473787655017439i</v>
      </c>
      <c r="AQ527" s="98">
        <f t="shared" si="306"/>
        <v>-46.487598436614689</v>
      </c>
      <c r="AR527" s="169">
        <f t="shared" si="307"/>
        <v>90.741169354725784</v>
      </c>
      <c r="AS527" s="168" t="str">
        <f t="shared" si="308"/>
        <v>-5.54846242522933E-06+0.0000023316985573905i</v>
      </c>
      <c r="AT527" s="190">
        <f t="shared" si="309"/>
        <v>-104.41024534998422</v>
      </c>
      <c r="AU527" s="169">
        <f t="shared" si="310"/>
        <v>157.20579470099986</v>
      </c>
      <c r="AV527" s="225"/>
      <c r="AX527">
        <f t="shared" si="311"/>
        <v>0</v>
      </c>
      <c r="AY527">
        <f t="shared" si="312"/>
        <v>0</v>
      </c>
    </row>
    <row r="528" spans="14:51" x14ac:dyDescent="0.3">
      <c r="N528" s="170">
        <v>10</v>
      </c>
      <c r="O528" s="199">
        <f t="shared" si="314"/>
        <v>1258925.4117941677</v>
      </c>
      <c r="P528" s="189" t="str">
        <f t="shared" si="279"/>
        <v>108.75</v>
      </c>
      <c r="Q528" s="160" t="str">
        <f t="shared" si="280"/>
        <v>1+20075.7364682586i</v>
      </c>
      <c r="R528" s="160">
        <f t="shared" si="288"/>
        <v>20075.736493164284</v>
      </c>
      <c r="S528" s="160">
        <f t="shared" si="289"/>
        <v>1.5707465154218119</v>
      </c>
      <c r="T528" s="160" t="str">
        <f t="shared" si="281"/>
        <v>1+0.743545795120693i</v>
      </c>
      <c r="U528" s="160">
        <f t="shared" si="290"/>
        <v>1.246138174297563</v>
      </c>
      <c r="V528" s="160">
        <f t="shared" si="291"/>
        <v>0.63935760465817504</v>
      </c>
      <c r="W528" s="98" t="str">
        <f t="shared" si="282"/>
        <v>1-5.90617936549771i</v>
      </c>
      <c r="X528" s="160">
        <f t="shared" si="292"/>
        <v>5.9902382838607462</v>
      </c>
      <c r="Y528" s="160">
        <f t="shared" si="293"/>
        <v>-1.4030727878116733</v>
      </c>
      <c r="Z528" s="98" t="str">
        <f t="shared" si="283"/>
        <v>-31.0140021201587+11.3924572394326i</v>
      </c>
      <c r="AA528" s="160">
        <f t="shared" si="294"/>
        <v>33.040224113366854</v>
      </c>
      <c r="AB528" s="160">
        <f t="shared" si="295"/>
        <v>2.7895608822089843</v>
      </c>
      <c r="AC528" s="171" t="str">
        <f t="shared" si="296"/>
        <v>0.000489667463320159+0.00112161188608717i</v>
      </c>
      <c r="AD528" s="190">
        <f t="shared" si="297"/>
        <v>-58.245498133814699</v>
      </c>
      <c r="AE528" s="169">
        <f t="shared" si="298"/>
        <v>66.415131991328039</v>
      </c>
      <c r="AF528" s="98" t="str">
        <f t="shared" si="284"/>
        <v>-0.0000366300366300366</v>
      </c>
      <c r="AG528" s="98" t="str">
        <f t="shared" si="285"/>
        <v>0.545794253865189i</v>
      </c>
      <c r="AH528" s="98">
        <f t="shared" si="299"/>
        <v>0.54579425386518898</v>
      </c>
      <c r="AI528" s="98">
        <f t="shared" si="300"/>
        <v>1.5707963267948966</v>
      </c>
      <c r="AJ528" s="98" t="str">
        <f t="shared" si="286"/>
        <v>1+77.9542307557926i</v>
      </c>
      <c r="AK528" s="98">
        <f t="shared" si="301"/>
        <v>77.960644512005913</v>
      </c>
      <c r="AL528" s="98">
        <f t="shared" si="302"/>
        <v>1.5579689902558875</v>
      </c>
      <c r="AM528" s="98" t="str">
        <f t="shared" si="287"/>
        <v>1+5378.84192214967i</v>
      </c>
      <c r="AN528" s="98">
        <f t="shared" si="303"/>
        <v>5378.842015106482</v>
      </c>
      <c r="AO528" s="98">
        <f t="shared" si="304"/>
        <v>1.5706104131720477</v>
      </c>
      <c r="AP528" s="168" t="str">
        <f t="shared" si="305"/>
        <v>-0.0000585337239716897+0.00463006469457974i</v>
      </c>
      <c r="AQ528" s="98">
        <f t="shared" si="306"/>
        <v>-46.687564768050095</v>
      </c>
      <c r="AR528" s="169">
        <f t="shared" si="307"/>
        <v>90.724300180135941</v>
      </c>
      <c r="AS528" s="168" t="str">
        <f t="shared" si="308"/>
        <v>-0.0000052217976549291+0.0000022015399134595i</v>
      </c>
      <c r="AT528" s="190">
        <f t="shared" si="309"/>
        <v>-104.9330629018648</v>
      </c>
      <c r="AU528" s="169">
        <f t="shared" si="310"/>
        <v>157.13943217146394</v>
      </c>
      <c r="AV528" s="225"/>
      <c r="AX528">
        <f t="shared" si="311"/>
        <v>0</v>
      </c>
      <c r="AY528">
        <f t="shared" si="312"/>
        <v>0</v>
      </c>
    </row>
    <row r="529" spans="14:51" x14ac:dyDescent="0.3">
      <c r="N529" s="170">
        <v>11</v>
      </c>
      <c r="O529" s="199">
        <f t="shared" si="314"/>
        <v>1288249.5516931366</v>
      </c>
      <c r="P529" s="189" t="str">
        <f t="shared" si="279"/>
        <v>108.75</v>
      </c>
      <c r="Q529" s="160" t="str">
        <f t="shared" si="280"/>
        <v>1+20543.3604428443i</v>
      </c>
      <c r="R529" s="160">
        <f t="shared" si="288"/>
        <v>20543.360467183062</v>
      </c>
      <c r="S529" s="160">
        <f t="shared" si="289"/>
        <v>1.5707476492670893</v>
      </c>
      <c r="T529" s="160" t="str">
        <f t="shared" si="281"/>
        <v>1+0.760865201586828i</v>
      </c>
      <c r="U529" s="160">
        <f t="shared" si="290"/>
        <v>1.2565491852632609</v>
      </c>
      <c r="V529" s="160">
        <f t="shared" si="291"/>
        <v>0.65041864986148723</v>
      </c>
      <c r="W529" s="98" t="str">
        <f t="shared" si="282"/>
        <v>1-6.04375195586701i</v>
      </c>
      <c r="X529" s="160">
        <f t="shared" si="292"/>
        <v>6.1259234164366028</v>
      </c>
      <c r="Y529" s="160">
        <f t="shared" si="293"/>
        <v>-1.4068218036099116</v>
      </c>
      <c r="Z529" s="98" t="str">
        <f t="shared" si="283"/>
        <v>-32.5227755573803+11.6578216579695i</v>
      </c>
      <c r="AA529" s="160">
        <f t="shared" si="294"/>
        <v>34.549033789163431</v>
      </c>
      <c r="AB529" s="160">
        <f t="shared" si="295"/>
        <v>2.7974090248523606</v>
      </c>
      <c r="AC529" s="171" t="str">
        <f t="shared" si="296"/>
        <v>0.000472479677184773+0.001080658567059i</v>
      </c>
      <c r="AD529" s="190">
        <f t="shared" si="297"/>
        <v>-58.566541423877382</v>
      </c>
      <c r="AE529" s="169">
        <f t="shared" si="298"/>
        <v>66.384350000883117</v>
      </c>
      <c r="AF529" s="98" t="str">
        <f t="shared" si="284"/>
        <v>-0.0000366300366300366</v>
      </c>
      <c r="AG529" s="98" t="str">
        <f t="shared" si="285"/>
        <v>0.558507435207351i</v>
      </c>
      <c r="AH529" s="98">
        <f t="shared" si="299"/>
        <v>0.55850743520735102</v>
      </c>
      <c r="AI529" s="98">
        <f t="shared" si="300"/>
        <v>1.5707963267948966</v>
      </c>
      <c r="AJ529" s="98" t="str">
        <f t="shared" si="286"/>
        <v>1+79.7700180510395i</v>
      </c>
      <c r="AK529" s="98">
        <f t="shared" si="301"/>
        <v>79.776285823941237</v>
      </c>
      <c r="AL529" s="98">
        <f t="shared" si="302"/>
        <v>1.558260945140429</v>
      </c>
      <c r="AM529" s="98" t="str">
        <f t="shared" si="287"/>
        <v>1+5504.13124552171i</v>
      </c>
      <c r="AN529" s="98">
        <f t="shared" si="303"/>
        <v>5504.1313363625668</v>
      </c>
      <c r="AO529" s="98">
        <f t="shared" si="304"/>
        <v>1.5706146450826717</v>
      </c>
      <c r="AP529" s="168" t="str">
        <f t="shared" si="305"/>
        <v>-0.0000558996863701399+0.00452470457537293i</v>
      </c>
      <c r="AQ529" s="98">
        <f t="shared" si="306"/>
        <v>-46.887532614576727</v>
      </c>
      <c r="AR529" s="169">
        <f t="shared" si="307"/>
        <v>90.707814868061519</v>
      </c>
      <c r="AS529" s="168" t="str">
        <f t="shared" si="308"/>
        <v>-4.91607222855871E-06+2.07742248215686E-06i</v>
      </c>
      <c r="AT529" s="190">
        <f t="shared" si="309"/>
        <v>-105.45407403845411</v>
      </c>
      <c r="AU529" s="169">
        <f t="shared" si="310"/>
        <v>157.09216486894471</v>
      </c>
      <c r="AV529" s="225"/>
      <c r="AX529">
        <f t="shared" si="311"/>
        <v>0</v>
      </c>
      <c r="AY529">
        <f t="shared" si="312"/>
        <v>0</v>
      </c>
    </row>
    <row r="530" spans="14:51" x14ac:dyDescent="0.3">
      <c r="N530" s="170">
        <v>12</v>
      </c>
      <c r="O530" s="199">
        <f t="shared" si="314"/>
        <v>1318256.7385564097</v>
      </c>
      <c r="P530" s="189" t="str">
        <f t="shared" si="279"/>
        <v>108.75</v>
      </c>
      <c r="Q530" s="160" t="str">
        <f t="shared" si="280"/>
        <v>1+21021.8767790602i</v>
      </c>
      <c r="R530" s="160">
        <f t="shared" si="288"/>
        <v>21021.876802844945</v>
      </c>
      <c r="S530" s="160">
        <f t="shared" si="289"/>
        <v>1.5707487573028975</v>
      </c>
      <c r="T530" s="160" t="str">
        <f t="shared" si="281"/>
        <v>1+0.778588028854085i</v>
      </c>
      <c r="U530" s="160">
        <f t="shared" si="290"/>
        <v>1.2673591908669339</v>
      </c>
      <c r="V530" s="160">
        <f t="shared" si="291"/>
        <v>0.66154781939922158</v>
      </c>
      <c r="W530" s="98" t="str">
        <f t="shared" si="282"/>
        <v>1-6.18452902352182i</v>
      </c>
      <c r="X530" s="160">
        <f t="shared" si="292"/>
        <v>6.2648542874342867</v>
      </c>
      <c r="Y530" s="160">
        <f t="shared" si="293"/>
        <v>-1.4104899811823186</v>
      </c>
      <c r="Z530" s="98" t="str">
        <f t="shared" si="283"/>
        <v>-34.1026552960358+11.929367207859i</v>
      </c>
      <c r="AA530" s="160">
        <f t="shared" si="294"/>
        <v>36.128948230195959</v>
      </c>
      <c r="AB530" s="160">
        <f t="shared" si="295"/>
        <v>2.8050892683698185</v>
      </c>
      <c r="AC530" s="171" t="str">
        <f t="shared" si="296"/>
        <v>0.000455661336319257+0.00104156618237588i</v>
      </c>
      <c r="AD530" s="190">
        <f t="shared" si="297"/>
        <v>-58.885736935260653</v>
      </c>
      <c r="AE530" s="169">
        <f t="shared" si="298"/>
        <v>66.371724326518944</v>
      </c>
      <c r="AF530" s="98" t="str">
        <f t="shared" si="284"/>
        <v>-0.0000366300366300366</v>
      </c>
      <c r="AG530" s="98" t="str">
        <f t="shared" si="285"/>
        <v>0.57151674458438i</v>
      </c>
      <c r="AH530" s="98">
        <f t="shared" si="299"/>
        <v>0.57151674458437995</v>
      </c>
      <c r="AI530" s="98">
        <f t="shared" si="300"/>
        <v>1.5707963267948966</v>
      </c>
      <c r="AJ530" s="98" t="str">
        <f t="shared" si="286"/>
        <v>1+81.6281004657381i</v>
      </c>
      <c r="AK530" s="98">
        <f t="shared" si="301"/>
        <v>81.634225577539681</v>
      </c>
      <c r="AL530" s="98">
        <f t="shared" si="302"/>
        <v>1.5585462563854924</v>
      </c>
      <c r="AM530" s="98" t="str">
        <f t="shared" si="287"/>
        <v>1+5632.33893213591i</v>
      </c>
      <c r="AN530" s="98">
        <f t="shared" si="303"/>
        <v>5632.3390209089766</v>
      </c>
      <c r="AO530" s="98">
        <f t="shared" si="304"/>
        <v>1.5706187806632554</v>
      </c>
      <c r="AP530" s="168" t="str">
        <f t="shared" si="305"/>
        <v>-0.0000533841635721545+0.00442174054175641i</v>
      </c>
      <c r="AQ530" s="98">
        <f t="shared" si="306"/>
        <v>-47.087501908025693</v>
      </c>
      <c r="AR530" s="169">
        <f t="shared" si="307"/>
        <v>90.691704689185045</v>
      </c>
      <c r="AS530" s="168" t="str">
        <f t="shared" si="308"/>
        <v>-4.62986051484545E-06+1.95921306466258E-06i</v>
      </c>
      <c r="AT530" s="190">
        <f t="shared" si="309"/>
        <v>-105.97323884328634</v>
      </c>
      <c r="AU530" s="169">
        <f t="shared" si="310"/>
        <v>157.063429015704</v>
      </c>
      <c r="AV530" s="225"/>
      <c r="AX530">
        <f t="shared" si="311"/>
        <v>0</v>
      </c>
      <c r="AY530">
        <f t="shared" si="312"/>
        <v>0</v>
      </c>
    </row>
    <row r="531" spans="14:51" x14ac:dyDescent="0.3">
      <c r="N531" s="170">
        <v>13</v>
      </c>
      <c r="O531" s="199">
        <f t="shared" si="314"/>
        <v>1348962.8825916562</v>
      </c>
      <c r="P531" s="189" t="str">
        <f t="shared" ref="P531:P560" si="315">COMPLEX(Adc,0)</f>
        <v>108.75</v>
      </c>
      <c r="Q531" s="160" t="str">
        <f t="shared" ref="Q531:Q560" si="316">IMSUM(COMPLEX(1,0),IMDIV(COMPLEX(0,2*PI()*O531),COMPLEX(wp_lf,0)))</f>
        <v>1+21511.5391926018i</v>
      </c>
      <c r="R531" s="160">
        <f t="shared" si="288"/>
        <v>21511.539215845132</v>
      </c>
      <c r="S531" s="160">
        <f t="shared" si="289"/>
        <v>1.5707498401167317</v>
      </c>
      <c r="T531" s="160" t="str">
        <f t="shared" ref="T531:T560" si="317">IMSUM(COMPLEX(1,0),IMDIV(COMPLEX(0,2*PI()*O531),COMPLEX(wz_esr,0)))</f>
        <v>1+0.79672367380007i</v>
      </c>
      <c r="U531" s="160">
        <f t="shared" si="290"/>
        <v>1.2785807023389177</v>
      </c>
      <c r="V531" s="160">
        <f t="shared" si="291"/>
        <v>0.67273998706943228</v>
      </c>
      <c r="W531" s="98" t="str">
        <f t="shared" ref="W531:W560" si="318">IMSUB(COMPLEX(1,0),IMDIV(COMPLEX(0,2*PI()*O531),COMPLEX(wz_rhp,0)))</f>
        <v>1-6.3285852103268i</v>
      </c>
      <c r="X531" s="160">
        <f t="shared" si="292"/>
        <v>6.4071047099580873</v>
      </c>
      <c r="Y531" s="160">
        <f t="shared" si="293"/>
        <v>-1.4140788703868477</v>
      </c>
      <c r="Z531" s="98" t="str">
        <f t="shared" ref="Z531:Z560" si="319">IF(Dc_Mode_Loop="CCM",IMSUM(COMPLEX(1,0),IMDIV(COMPLEX(0,2*PI()*O531),COMPLEX(Q*(wsl/2),0)),IMDIV(IMPOWER(COMPLEX(0,2*PI()*O531),2),IMPOWER(COMPLEX(wsl/2,0),2))),COMPLEX(1,0))</f>
        <v>-35.7569924728692+12.207237866146i</v>
      </c>
      <c r="AA531" s="160">
        <f t="shared" si="294"/>
        <v>37.783318634358913</v>
      </c>
      <c r="AB531" s="160">
        <f t="shared" si="295"/>
        <v>2.8126047461273047</v>
      </c>
      <c r="AC531" s="171" t="str">
        <f t="shared" si="296"/>
        <v>0.000439228562758786+0.00100424074189344i</v>
      </c>
      <c r="AD531" s="190">
        <f t="shared" si="297"/>
        <v>-59.203047095763672</v>
      </c>
      <c r="AE531" s="169">
        <f t="shared" si="298"/>
        <v>66.376692895874157</v>
      </c>
      <c r="AF531" s="98" t="str">
        <f t="shared" ref="AF531:AF560" si="320">COMPLEX(Adc_ea,0)</f>
        <v>-0.0000366300366300366</v>
      </c>
      <c r="AG531" s="98" t="str">
        <f t="shared" ref="AG531:AG560" si="321">COMPLEX(0,2*PI()*O531*wp0_ea)</f>
        <v>0.584829079704305i</v>
      </c>
      <c r="AH531" s="98">
        <f t="shared" si="299"/>
        <v>0.58482907970430498</v>
      </c>
      <c r="AI531" s="98">
        <f t="shared" si="300"/>
        <v>1.5707963267948966</v>
      </c>
      <c r="AJ531" s="98" t="str">
        <f t="shared" ref="AJ531:AJ560" si="322">IMSUM(COMPLEX(1,0),IMDIV(COMPLEX(0,2*PI()*O531),COMPLEX(wp1_ea,0)))</f>
        <v>1+83.529463179779i</v>
      </c>
      <c r="AK531" s="98">
        <f t="shared" si="301"/>
        <v>83.535448877120757</v>
      </c>
      <c r="AL531" s="98">
        <f t="shared" si="302"/>
        <v>1.5588250750809689</v>
      </c>
      <c r="AM531" s="98" t="str">
        <f t="shared" ref="AM531:AM560" si="323">IMSUM(COMPLEX(1,0),IMDIV(COMPLEX(0,2*PI()*O531),COMPLEX(wz_ea,0)))</f>
        <v>1+5763.53295940474i</v>
      </c>
      <c r="AN531" s="98">
        <f t="shared" si="303"/>
        <v>5763.5330461570838</v>
      </c>
      <c r="AO531" s="98">
        <f t="shared" si="304"/>
        <v>1.5706228221065381</v>
      </c>
      <c r="AP531" s="168" t="str">
        <f t="shared" si="305"/>
        <v>-0.0000509818247365216+0.00432111819919047i</v>
      </c>
      <c r="AQ531" s="98">
        <f t="shared" si="306"/>
        <v>-47.287472583294416</v>
      </c>
      <c r="AR531" s="169">
        <f t="shared" si="307"/>
        <v>90.675961112328139</v>
      </c>
      <c r="AS531" s="168" t="str">
        <f t="shared" si="308"/>
        <v>-4.36183561977013E-06+1.84676051064478E-06i</v>
      </c>
      <c r="AT531" s="190">
        <f t="shared" si="309"/>
        <v>-106.49051967905808</v>
      </c>
      <c r="AU531" s="169">
        <f t="shared" si="310"/>
        <v>157.05265400820227</v>
      </c>
      <c r="AV531" s="225"/>
      <c r="AX531">
        <f t="shared" si="311"/>
        <v>0</v>
      </c>
      <c r="AY531">
        <f t="shared" si="312"/>
        <v>0</v>
      </c>
    </row>
    <row r="532" spans="14:51" x14ac:dyDescent="0.3">
      <c r="N532" s="170">
        <v>14</v>
      </c>
      <c r="O532" s="199">
        <f t="shared" si="314"/>
        <v>1380384.2646028849</v>
      </c>
      <c r="P532" s="189" t="str">
        <f t="shared" si="315"/>
        <v>108.75</v>
      </c>
      <c r="Q532" s="160" t="str">
        <f t="shared" si="316"/>
        <v>1+22012.6073089622i</v>
      </c>
      <c r="R532" s="160">
        <f t="shared" ref="R532:R560" si="324">IMABS(Q532)</f>
        <v>22012.607331676456</v>
      </c>
      <c r="S532" s="160">
        <f t="shared" ref="S532:S560" si="325">IMARGUMENT(Q532)</f>
        <v>1.5707508982827136</v>
      </c>
      <c r="T532" s="160" t="str">
        <f t="shared" si="317"/>
        <v>1+0.815281752183788i</v>
      </c>
      <c r="U532" s="160">
        <f t="shared" ref="U532:U560" si="326">IMABS(T532)</f>
        <v>1.2902264667273988</v>
      </c>
      <c r="V532" s="160">
        <f t="shared" ref="V532:V560" si="327">IMARGUMENT(T532)</f>
        <v>0.68398987182946669</v>
      </c>
      <c r="W532" s="98" t="str">
        <f t="shared" si="318"/>
        <v>1-6.47599689677903i</v>
      </c>
      <c r="X532" s="160">
        <f t="shared" ref="X532:X560" si="328">IMABS(W532)</f>
        <v>6.5527502475748021</v>
      </c>
      <c r="Y532" s="160">
        <f t="shared" ref="Y532:Y560" si="329">IMARGUMENT(W532)</f>
        <v>-1.4175900041086906</v>
      </c>
      <c r="Z532" s="98" t="str">
        <f t="shared" si="319"/>
        <v>-37.4892961588332+12.4915809635314i</v>
      </c>
      <c r="AA532" s="160">
        <f t="shared" ref="AA532:AA560" si="330">IMABS(Z532)</f>
        <v>39.515654131662373</v>
      </c>
      <c r="AB532" s="160">
        <f t="shared" ref="AB532:AB560" si="331">IMARGUMENT(Z532)</f>
        <v>2.819958563101316</v>
      </c>
      <c r="AC532" s="171" t="str">
        <f t="shared" ref="AC532:AC560" si="332">(IMDIV(IMPRODUCT(P532,T532,W532),IMPRODUCT(Q532,Z532)))</f>
        <v>0.000423194214565852+0.000968592798323402i</v>
      </c>
      <c r="AD532" s="190">
        <f t="shared" ref="AD532:AD560" si="333">20*LOG(IMABS(AC532))</f>
        <v>-59.518436690394729</v>
      </c>
      <c r="AE532" s="169">
        <f t="shared" ref="AE532:AE560" si="334">(180/PI())*IMARGUMENT(AC532)</f>
        <v>66.398687364697707</v>
      </c>
      <c r="AF532" s="98" t="str">
        <f t="shared" si="320"/>
        <v>-0.0000366300366300366</v>
      </c>
      <c r="AG532" s="98" t="str">
        <f t="shared" si="321"/>
        <v>0.598451498943417i</v>
      </c>
      <c r="AH532" s="98">
        <f t="shared" ref="AH532:AH560" si="335">IMABS(AG532)</f>
        <v>0.59845149894341698</v>
      </c>
      <c r="AI532" s="98">
        <f t="shared" ref="AI532:AI560" si="336">IMARGUMENT(AG532)</f>
        <v>1.5707963267948966</v>
      </c>
      <c r="AJ532" s="98" t="str">
        <f t="shared" si="322"/>
        <v>1+85.475114320841i</v>
      </c>
      <c r="AK532" s="98">
        <f t="shared" ref="AK532:AK560" si="337">IMABS(AJ532)</f>
        <v>85.480963776508958</v>
      </c>
      <c r="AL532" s="98">
        <f t="shared" ref="AL532:AL560" si="338">IMARGUMENT(AJ532)</f>
        <v>1.5590975488867196</v>
      </c>
      <c r="AM532" s="98" t="str">
        <f t="shared" si="323"/>
        <v>1+5897.78288813801i</v>
      </c>
      <c r="AN532" s="98">
        <f t="shared" ref="AN532:AN560" si="339">IMABS(AM532)</f>
        <v>5897.7829729156301</v>
      </c>
      <c r="AO532" s="98">
        <f t="shared" ref="AO532:AO560" si="340">IMARGUMENT(AM532)</f>
        <v>1.5706267715553457</v>
      </c>
      <c r="AP532" s="168" t="str">
        <f t="shared" ref="AP532:AP560" si="341">IMPRODUCT(AF532,IMDIV(AM532,IMPRODUCT(AG532,AJ532)))</f>
        <v>-0.0000486875786676132+0.00422278438149824i</v>
      </c>
      <c r="AQ532" s="98">
        <f t="shared" ref="AQ532:AQ560" si="342">20*LOG(IMABS(AP532))</f>
        <v>-47.487444578208468</v>
      </c>
      <c r="AR532" s="169">
        <f t="shared" ref="AR532:AR560" si="343">(180/PI())*IMARGUMENT(AP532)</f>
        <v>90.66057579997883</v>
      </c>
      <c r="AS532" s="168" t="str">
        <f t="shared" ref="AS532:AS560" si="344">IMPRODUCT(AC532,AP532)</f>
        <v>-4.11076284240509E-06+1.73989948154384E-06i</v>
      </c>
      <c r="AT532" s="190">
        <f t="shared" ref="AT532:AT560" si="345">20*LOG(IMABS(AS532))</f>
        <v>-107.00588126860319</v>
      </c>
      <c r="AU532" s="169">
        <f t="shared" ref="AU532:AU560" si="346">(180/PI())*IMARGUMENT(AS532)</f>
        <v>157.05926316467654</v>
      </c>
      <c r="AV532" s="225"/>
      <c r="AX532">
        <f t="shared" ref="AX532:AX559" si="347">SUM((AT533&lt;0)*(AT532&gt;0))*O532</f>
        <v>0</v>
      </c>
      <c r="AY532">
        <f t="shared" ref="AY532:AY559" si="348">IF(AX532&gt;0,AU532,0)</f>
        <v>0</v>
      </c>
    </row>
    <row r="533" spans="14:51" x14ac:dyDescent="0.3">
      <c r="N533" s="170">
        <v>15</v>
      </c>
      <c r="O533" s="199">
        <f t="shared" si="314"/>
        <v>1412537.5446227565</v>
      </c>
      <c r="P533" s="189" t="str">
        <f t="shared" si="315"/>
        <v>108.75</v>
      </c>
      <c r="Q533" s="160" t="str">
        <f t="shared" si="316"/>
        <v>1+22525.3468010892i</v>
      </c>
      <c r="R533" s="160">
        <f t="shared" si="324"/>
        <v>22525.346823286414</v>
      </c>
      <c r="S533" s="160">
        <f t="shared" si="325"/>
        <v>1.5707519323618975</v>
      </c>
      <c r="T533" s="160" t="str">
        <f t="shared" si="317"/>
        <v>1+0.834272103744046i</v>
      </c>
      <c r="U533" s="160">
        <f t="shared" si="326"/>
        <v>1.3023094651754308</v>
      </c>
      <c r="V533" s="160">
        <f t="shared" si="327"/>
        <v>0.69529204890765317</v>
      </c>
      <c r="W533" s="98" t="str">
        <f t="shared" si="318"/>
        <v>1-6.6268422425059i</v>
      </c>
      <c r="X533" s="160">
        <f t="shared" si="328"/>
        <v>6.7018682549764144</v>
      </c>
      <c r="Y533" s="160">
        <f t="shared" si="329"/>
        <v>-1.4210248975361073</v>
      </c>
      <c r="Z533" s="98" t="str">
        <f t="shared" si="319"/>
        <v>-39.3032408023002+12.7825472624894i</v>
      </c>
      <c r="AA533" s="160">
        <f t="shared" si="330"/>
        <v>41.329629227484858</v>
      </c>
      <c r="AB533" s="160">
        <f t="shared" si="331"/>
        <v>2.8271537939715317</v>
      </c>
      <c r="AC533" s="171" t="str">
        <f t="shared" si="332"/>
        <v>0.000407568214886722+0.000934537285009646i</v>
      </c>
      <c r="AD533" s="190">
        <f t="shared" si="333"/>
        <v>-59.831872937088164</v>
      </c>
      <c r="AE533" s="169">
        <f t="shared" si="334"/>
        <v>66.437133904260591</v>
      </c>
      <c r="AF533" s="98" t="str">
        <f t="shared" si="320"/>
        <v>-0.0000366300366300366</v>
      </c>
      <c r="AG533" s="98" t="str">
        <f t="shared" si="321"/>
        <v>0.612391225088713i</v>
      </c>
      <c r="AH533" s="98">
        <f t="shared" si="335"/>
        <v>0.61239122508871302</v>
      </c>
      <c r="AI533" s="98">
        <f t="shared" si="336"/>
        <v>1.5707963267948966</v>
      </c>
      <c r="AJ533" s="98" t="str">
        <f t="shared" si="322"/>
        <v>1+87.4660854989131i</v>
      </c>
      <c r="AK533" s="98">
        <f t="shared" si="337"/>
        <v>87.47180181351689</v>
      </c>
      <c r="AL533" s="98">
        <f t="shared" si="338"/>
        <v>1.5593638221100379</v>
      </c>
      <c r="AM533" s="98" t="str">
        <f t="shared" si="323"/>
        <v>1+6035.15989942499i</v>
      </c>
      <c r="AN533" s="98">
        <f t="shared" si="339"/>
        <v>6035.1599822728367</v>
      </c>
      <c r="AO533" s="98">
        <f t="shared" si="340"/>
        <v>1.5706306311037279</v>
      </c>
      <c r="AP533" s="168" t="str">
        <f t="shared" si="341"/>
        <v>-0.0000464965630543414+0.00412668712355857i</v>
      </c>
      <c r="AQ533" s="98">
        <f t="shared" si="342"/>
        <v>-47.687417833390413</v>
      </c>
      <c r="AR533" s="169">
        <f t="shared" si="343"/>
        <v>90.645540603918477</v>
      </c>
      <c r="AS533" s="168" t="str">
        <f t="shared" si="344"/>
        <v>-3.87549350173712E-06+0.0000016384537325457i</v>
      </c>
      <c r="AT533" s="190">
        <f t="shared" si="345"/>
        <v>-107.51929077047856</v>
      </c>
      <c r="AU533" s="169">
        <f t="shared" si="346"/>
        <v>157.08267450817911</v>
      </c>
      <c r="AV533" s="225"/>
      <c r="AX533">
        <f t="shared" si="347"/>
        <v>0</v>
      </c>
      <c r="AY533">
        <f t="shared" si="348"/>
        <v>0</v>
      </c>
    </row>
    <row r="534" spans="14:51" x14ac:dyDescent="0.3">
      <c r="N534" s="170">
        <v>16</v>
      </c>
      <c r="O534" s="199">
        <f t="shared" si="314"/>
        <v>1445439.7707459298</v>
      </c>
      <c r="P534" s="189" t="str">
        <f t="shared" si="315"/>
        <v>108.75</v>
      </c>
      <c r="Q534" s="160" t="str">
        <f t="shared" si="316"/>
        <v>1+23050.0295302483i</v>
      </c>
      <c r="R534" s="160">
        <f t="shared" si="324"/>
        <v>23050.029551940243</v>
      </c>
      <c r="S534" s="160">
        <f t="shared" si="325"/>
        <v>1.5707529429025653</v>
      </c>
      <c r="T534" s="160" t="str">
        <f t="shared" si="317"/>
        <v>1+0.853704797416605i</v>
      </c>
      <c r="U534" s="160">
        <f t="shared" si="326"/>
        <v>1.3148429111997093</v>
      </c>
      <c r="V534" s="160">
        <f t="shared" si="327"/>
        <v>0.70664096176167468</v>
      </c>
      <c r="W534" s="98" t="str">
        <f t="shared" si="318"/>
        <v>1-6.78120122770637i</v>
      </c>
      <c r="X534" s="160">
        <f t="shared" si="328"/>
        <v>6.8545379195571137</v>
      </c>
      <c r="Y534" s="160">
        <f t="shared" si="329"/>
        <v>-1.4243850475154161</v>
      </c>
      <c r="Z534" s="98" t="str">
        <f t="shared" si="319"/>
        <v>-41.2026740230584+13.0802910372029i</v>
      </c>
      <c r="AA534" s="160">
        <f t="shared" si="330"/>
        <v>43.229091596612825</v>
      </c>
      <c r="AB534" s="160">
        <f t="shared" si="331"/>
        <v>2.8341934813956802</v>
      </c>
      <c r="AC534" s="171" t="str">
        <f t="shared" si="332"/>
        <v>0.000392357854992512+0.000901993351909726i</v>
      </c>
      <c r="AD534" s="190">
        <f t="shared" si="333"/>
        <v>-60.14332555632302</v>
      </c>
      <c r="AE534" s="169">
        <f t="shared" si="334"/>
        <v>66.491454022302108</v>
      </c>
      <c r="AF534" s="98" t="str">
        <f t="shared" si="320"/>
        <v>-0.0000366300366300366</v>
      </c>
      <c r="AG534" s="98" t="str">
        <f t="shared" si="321"/>
        <v>0.626655649167506i</v>
      </c>
      <c r="AH534" s="98">
        <f t="shared" si="335"/>
        <v>0.62665564916750605</v>
      </c>
      <c r="AI534" s="98">
        <f t="shared" si="336"/>
        <v>1.5707963267948966</v>
      </c>
      <c r="AJ534" s="98" t="str">
        <f t="shared" si="322"/>
        <v>1+89.5034323532671i</v>
      </c>
      <c r="AK534" s="98">
        <f t="shared" si="337"/>
        <v>89.509018556879852</v>
      </c>
      <c r="AL534" s="98">
        <f t="shared" si="338"/>
        <v>1.5596240357813915</v>
      </c>
      <c r="AM534" s="98" t="str">
        <f t="shared" si="323"/>
        <v>1+6175.73683237542i</v>
      </c>
      <c r="AN534" s="98">
        <f t="shared" si="339"/>
        <v>6175.7369133374177</v>
      </c>
      <c r="AO534" s="98">
        <f t="shared" si="340"/>
        <v>1.5706344027980679</v>
      </c>
      <c r="AP534" s="168" t="str">
        <f t="shared" si="341"/>
        <v>-0.0000444041341912608+0.00403277563457736i</v>
      </c>
      <c r="AQ534" s="98">
        <f t="shared" si="342"/>
        <v>-47.88739229213369</v>
      </c>
      <c r="AR534" s="169">
        <f t="shared" si="343"/>
        <v>90.630847560945611</v>
      </c>
      <c r="AS534" s="168" t="str">
        <f t="shared" si="344"/>
        <v>-3.65495912297639E-06+1.54223896381101E-06i</v>
      </c>
      <c r="AT534" s="190">
        <f t="shared" si="345"/>
        <v>-108.03071784845672</v>
      </c>
      <c r="AU534" s="169">
        <f t="shared" si="346"/>
        <v>157.12230158324778</v>
      </c>
      <c r="AV534" s="225"/>
      <c r="AX534">
        <f t="shared" si="347"/>
        <v>0</v>
      </c>
      <c r="AY534">
        <f t="shared" si="348"/>
        <v>0</v>
      </c>
    </row>
    <row r="535" spans="14:51" x14ac:dyDescent="0.3">
      <c r="N535" s="170">
        <v>17</v>
      </c>
      <c r="O535" s="199">
        <f t="shared" si="314"/>
        <v>1479108.3881682095</v>
      </c>
      <c r="P535" s="189" t="str">
        <f t="shared" si="315"/>
        <v>108.75</v>
      </c>
      <c r="Q535" s="160" t="str">
        <f t="shared" si="316"/>
        <v>1+23586.9336901675i</v>
      </c>
      <c r="R535" s="160">
        <f t="shared" si="324"/>
        <v>23586.933711365677</v>
      </c>
      <c r="S535" s="160">
        <f t="shared" si="325"/>
        <v>1.5707539304405194</v>
      </c>
      <c r="T535" s="160" t="str">
        <f t="shared" si="317"/>
        <v>1+0.873590136672872i</v>
      </c>
      <c r="U535" s="160">
        <f t="shared" si="326"/>
        <v>1.3278402490104475</v>
      </c>
      <c r="V535" s="160">
        <f t="shared" si="327"/>
        <v>0.71803093482718006</v>
      </c>
      <c r="W535" s="98" t="str">
        <f t="shared" si="318"/>
        <v>1-6.93915569555757i</v>
      </c>
      <c r="X535" s="160">
        <f t="shared" si="328"/>
        <v>7.0108403039285578</v>
      </c>
      <c r="Y535" s="160">
        <f t="shared" si="329"/>
        <v>-1.4276719319803102</v>
      </c>
      <c r="Z535" s="98" t="str">
        <f t="shared" si="319"/>
        <v>-43.1916247736305+13.3849701553625i</v>
      </c>
      <c r="AA535" s="160">
        <f t="shared" si="330"/>
        <v>45.218070244605045</v>
      </c>
      <c r="AB535" s="160">
        <f t="shared" si="331"/>
        <v>2.8410806344563118</v>
      </c>
      <c r="AC535" s="171" t="str">
        <f t="shared" si="332"/>
        <v>0.000377568072916941+0.000870884200990186i</v>
      </c>
      <c r="AD535" s="190">
        <f t="shared" si="333"/>
        <v>-60.452766833975204</v>
      </c>
      <c r="AE535" s="169">
        <f t="shared" si="334"/>
        <v>66.561065415146089</v>
      </c>
      <c r="AF535" s="98" t="str">
        <f t="shared" si="320"/>
        <v>-0.0000366300366300366</v>
      </c>
      <c r="AG535" s="98" t="str">
        <f t="shared" si="321"/>
        <v>0.641252334366256i</v>
      </c>
      <c r="AH535" s="98">
        <f t="shared" si="335"/>
        <v>0.64125233436625595</v>
      </c>
      <c r="AI535" s="98">
        <f t="shared" si="336"/>
        <v>1.5707963267948966</v>
      </c>
      <c r="AJ535" s="98" t="str">
        <f t="shared" si="322"/>
        <v>1+91.5882351121727i</v>
      </c>
      <c r="AK535" s="98">
        <f t="shared" si="337"/>
        <v>91.59369416593384</v>
      </c>
      <c r="AL535" s="98">
        <f t="shared" si="338"/>
        <v>1.5598783277284773</v>
      </c>
      <c r="AM535" s="98" t="str">
        <f t="shared" si="323"/>
        <v>1+6319.5882227399i</v>
      </c>
      <c r="AN535" s="98">
        <f t="shared" si="339"/>
        <v>6319.5883018589784</v>
      </c>
      <c r="AO535" s="98">
        <f t="shared" si="340"/>
        <v>1.5706380886381675</v>
      </c>
      <c r="AP535" s="168" t="str">
        <f t="shared" si="341"/>
        <v>-0.0000424058571603102+0.00394100027192637i</v>
      </c>
      <c r="AQ535" s="98">
        <f t="shared" si="342"/>
        <v>-48.087367900282558</v>
      </c>
      <c r="AR535" s="169">
        <f t="shared" si="343"/>
        <v>90.616488888695088</v>
      </c>
      <c r="AS535" s="168" t="str">
        <f t="shared" si="344"/>
        <v>-3.44816597068711E-06+1.45106528700602E-06i</v>
      </c>
      <c r="AT535" s="190">
        <f t="shared" si="345"/>
        <v>-108.54013473425778</v>
      </c>
      <c r="AU535" s="169">
        <f t="shared" si="346"/>
        <v>157.17755430384116</v>
      </c>
      <c r="AV535" s="225"/>
      <c r="AX535">
        <f t="shared" si="347"/>
        <v>0</v>
      </c>
      <c r="AY535">
        <f t="shared" si="348"/>
        <v>0</v>
      </c>
    </row>
    <row r="536" spans="14:51" x14ac:dyDescent="0.3">
      <c r="N536" s="170">
        <v>18</v>
      </c>
      <c r="O536" s="199">
        <f t="shared" si="314"/>
        <v>1513561.2484362102</v>
      </c>
      <c r="P536" s="189" t="str">
        <f t="shared" si="315"/>
        <v>108.75</v>
      </c>
      <c r="Q536" s="160" t="str">
        <f t="shared" si="316"/>
        <v>1+24136.3439545392i</v>
      </c>
      <c r="R536" s="160">
        <f t="shared" si="324"/>
        <v>24136.343975254847</v>
      </c>
      <c r="S536" s="160">
        <f t="shared" si="325"/>
        <v>1.5707548954993653</v>
      </c>
      <c r="T536" s="160" t="str">
        <f t="shared" si="317"/>
        <v>1+0.893938664982936i</v>
      </c>
      <c r="U536" s="160">
        <f t="shared" si="326"/>
        <v>1.3413151519130297</v>
      </c>
      <c r="V536" s="160">
        <f t="shared" si="327"/>
        <v>0.72945618699156622</v>
      </c>
      <c r="W536" s="98" t="str">
        <f t="shared" si="318"/>
        <v>1-7.10078939560915i</v>
      </c>
      <c r="X536" s="160">
        <f t="shared" si="328"/>
        <v>7.170858389397698</v>
      </c>
      <c r="Y536" s="160">
        <f t="shared" si="329"/>
        <v>-1.4308870094508646</v>
      </c>
      <c r="Z536" s="98" t="str">
        <f t="shared" si="319"/>
        <v>-45.2743118852219+13.6967461618695i</v>
      </c>
      <c r="AA536" s="160">
        <f t="shared" si="330"/>
        <v>47.300784053787432</v>
      </c>
      <c r="AB536" s="160">
        <f t="shared" si="331"/>
        <v>2.8478182272695647</v>
      </c>
      <c r="AC536" s="171" t="str">
        <f t="shared" si="332"/>
        <v>0.000363201709249963+0.000841136922081006i</v>
      </c>
      <c r="AD536" s="190">
        <f t="shared" si="333"/>
        <v>-60.760171676774242</v>
      </c>
      <c r="AE536" s="169">
        <f t="shared" si="334"/>
        <v>66.645382848091771</v>
      </c>
      <c r="AF536" s="98" t="str">
        <f t="shared" si="320"/>
        <v>-0.0000366300366300366</v>
      </c>
      <c r="AG536" s="98" t="str">
        <f t="shared" si="321"/>
        <v>0.656189020040664i</v>
      </c>
      <c r="AH536" s="98">
        <f t="shared" si="335"/>
        <v>0.65618902004066404</v>
      </c>
      <c r="AI536" s="98">
        <f t="shared" si="336"/>
        <v>1.5707963267948966</v>
      </c>
      <c r="AJ536" s="98" t="str">
        <f t="shared" si="322"/>
        <v>1+93.7215991656485i</v>
      </c>
      <c r="AK536" s="98">
        <f t="shared" si="337"/>
        <v>93.726933963330339</v>
      </c>
      <c r="AL536" s="98">
        <f t="shared" si="338"/>
        <v>1.5601268326486271</v>
      </c>
      <c r="AM536" s="98" t="str">
        <f t="shared" si="323"/>
        <v>1+6466.79034242973i</v>
      </c>
      <c r="AN536" s="98">
        <f t="shared" si="339"/>
        <v>6466.7904197478383</v>
      </c>
      <c r="AO536" s="98">
        <f t="shared" si="340"/>
        <v>1.5706416905783074</v>
      </c>
      <c r="AP536" s="168" t="str">
        <f t="shared" si="341"/>
        <v>-0.0000404974964526359+0.00385131251553948i</v>
      </c>
      <c r="AQ536" s="98">
        <f t="shared" si="342"/>
        <v>-48.287344606117628</v>
      </c>
      <c r="AR536" s="169">
        <f t="shared" si="343"/>
        <v>90.602456981550347</v>
      </c>
      <c r="AS536" s="168" t="str">
        <f t="shared" si="344"/>
        <v>-3.25418991522488E-06+1.36473934898156E-06i</v>
      </c>
      <c r="AT536" s="190">
        <f t="shared" si="345"/>
        <v>-109.04751628289188</v>
      </c>
      <c r="AU536" s="169">
        <f t="shared" si="346"/>
        <v>157.24783982964212</v>
      </c>
      <c r="AV536" s="225"/>
      <c r="AX536">
        <f t="shared" si="347"/>
        <v>0</v>
      </c>
      <c r="AY536">
        <f t="shared" si="348"/>
        <v>0</v>
      </c>
    </row>
    <row r="537" spans="14:51" x14ac:dyDescent="0.3">
      <c r="N537" s="170">
        <v>19</v>
      </c>
      <c r="O537" s="199">
        <f t="shared" si="314"/>
        <v>1548816.6189124861</v>
      </c>
      <c r="P537" s="189" t="str">
        <f t="shared" si="315"/>
        <v>108.75</v>
      </c>
      <c r="Q537" s="160" t="str">
        <f t="shared" si="316"/>
        <v>1+24698.551627958i</v>
      </c>
      <c r="R537" s="160">
        <f t="shared" si="324"/>
        <v>24698.551648202101</v>
      </c>
      <c r="S537" s="160">
        <f t="shared" si="325"/>
        <v>1.5707558385907898</v>
      </c>
      <c r="T537" s="160" t="str">
        <f t="shared" si="317"/>
        <v>1+0.914761171405853i</v>
      </c>
      <c r="U537" s="160">
        <f t="shared" si="326"/>
        <v>1.3552815208331472</v>
      </c>
      <c r="V537" s="160">
        <f t="shared" si="327"/>
        <v>0.74091084571983068</v>
      </c>
      <c r="W537" s="98" t="str">
        <f t="shared" si="318"/>
        <v>1-7.26618802818834i</v>
      </c>
      <c r="X537" s="160">
        <f t="shared" si="328"/>
        <v>7.3346771204319241</v>
      </c>
      <c r="Y537" s="160">
        <f t="shared" si="329"/>
        <v>-1.4340317185977967</v>
      </c>
      <c r="Z537" s="98" t="str">
        <f t="shared" si="319"/>
        <v>-47.4551530164271+14.0157843644894i</v>
      </c>
      <c r="AA537" s="160">
        <f t="shared" si="330"/>
        <v>49.481650732007466</v>
      </c>
      <c r="AB537" s="160">
        <f t="shared" si="331"/>
        <v>2.8544091977463095</v>
      </c>
      <c r="AC537" s="171" t="str">
        <f t="shared" si="332"/>
        <v>0.000349259741588203+0.000812682330086582i</v>
      </c>
      <c r="AD537" s="190">
        <f t="shared" si="333"/>
        <v>-61.065517659786792</v>
      </c>
      <c r="AE537" s="169">
        <f t="shared" si="334"/>
        <v>66.743819060697462</v>
      </c>
      <c r="AF537" s="98" t="str">
        <f t="shared" si="320"/>
        <v>-0.0000366300366300366</v>
      </c>
      <c r="AG537" s="98" t="str">
        <f t="shared" si="321"/>
        <v>0.671473625819188i</v>
      </c>
      <c r="AH537" s="98">
        <f t="shared" si="335"/>
        <v>0.67147362581918801</v>
      </c>
      <c r="AI537" s="98">
        <f t="shared" si="336"/>
        <v>1.5707963267948966</v>
      </c>
      <c r="AJ537" s="98" t="str">
        <f t="shared" si="322"/>
        <v>1+95.904655651554i</v>
      </c>
      <c r="AK537" s="98">
        <f t="shared" si="337"/>
        <v>95.909869021092661</v>
      </c>
      <c r="AL537" s="98">
        <f t="shared" si="338"/>
        <v>1.5603696821795976</v>
      </c>
      <c r="AM537" s="98" t="str">
        <f t="shared" si="323"/>
        <v>1+6617.42123995721i</v>
      </c>
      <c r="AN537" s="98">
        <f t="shared" si="339"/>
        <v>6617.4213155153438</v>
      </c>
      <c r="AO537" s="98">
        <f t="shared" si="340"/>
        <v>1.5706452105282835</v>
      </c>
      <c r="AP537" s="168" t="str">
        <f t="shared" si="341"/>
        <v>-0.0000386750070108472+0.00376366494285652i</v>
      </c>
      <c r="AQ537" s="98">
        <f t="shared" si="342"/>
        <v>-48.487322360246097</v>
      </c>
      <c r="AR537" s="169">
        <f t="shared" si="343"/>
        <v>90.58874440664674</v>
      </c>
      <c r="AS537" s="168" t="str">
        <f t="shared" si="344"/>
        <v>-3.07217161838035E-06+1.28306615055296E-06i</v>
      </c>
      <c r="AT537" s="190">
        <f t="shared" si="345"/>
        <v>-109.55284002003289</v>
      </c>
      <c r="AU537" s="169">
        <f t="shared" si="346"/>
        <v>157.33256346734413</v>
      </c>
      <c r="AV537" s="225"/>
      <c r="AX537">
        <f t="shared" si="347"/>
        <v>0</v>
      </c>
      <c r="AY537">
        <f t="shared" si="348"/>
        <v>0</v>
      </c>
    </row>
    <row r="538" spans="14:51" x14ac:dyDescent="0.3">
      <c r="N538" s="170">
        <v>20</v>
      </c>
      <c r="O538" s="199">
        <f t="shared" si="314"/>
        <v>1584893.1924611153</v>
      </c>
      <c r="P538" s="189" t="str">
        <f t="shared" si="315"/>
        <v>108.75</v>
      </c>
      <c r="Q538" s="160" t="str">
        <f t="shared" si="316"/>
        <v>1+25273.8548003737i</v>
      </c>
      <c r="R538" s="160">
        <f t="shared" si="324"/>
        <v>25273.854820156987</v>
      </c>
      <c r="S538" s="160">
        <f t="shared" si="325"/>
        <v>1.5707567602148329</v>
      </c>
      <c r="T538" s="160" t="str">
        <f t="shared" si="317"/>
        <v>1+0.936068696310141i</v>
      </c>
      <c r="U538" s="160">
        <f t="shared" si="326"/>
        <v>1.3697534830077152</v>
      </c>
      <c r="V538" s="160">
        <f t="shared" si="327"/>
        <v>0.75238896175201264</v>
      </c>
      <c r="W538" s="98" t="str">
        <f t="shared" si="318"/>
        <v>1-7.43543928983943i</v>
      </c>
      <c r="X538" s="160">
        <f t="shared" si="328"/>
        <v>7.5023834501368887</v>
      </c>
      <c r="Y538" s="160">
        <f t="shared" si="329"/>
        <v>-1.4371074778677522</v>
      </c>
      <c r="Z538" s="98" t="str">
        <f t="shared" si="319"/>
        <v>-49.7387740236753+14.3422539215001i</v>
      </c>
      <c r="AA538" s="160">
        <f t="shared" si="330"/>
        <v>51.765296183128534</v>
      </c>
      <c r="AB538" s="160">
        <f t="shared" si="331"/>
        <v>2.8608564464964781</v>
      </c>
      <c r="AC538" s="171" t="str">
        <f t="shared" si="332"/>
        <v>0.000335741499081358+0.000785454804316953i</v>
      </c>
      <c r="AD538" s="190">
        <f t="shared" si="333"/>
        <v>-61.368785065409455</v>
      </c>
      <c r="AE538" s="169">
        <f t="shared" si="334"/>
        <v>66.855785693112722</v>
      </c>
      <c r="AF538" s="98" t="str">
        <f t="shared" si="320"/>
        <v>-0.0000366300366300366</v>
      </c>
      <c r="AG538" s="98" t="str">
        <f t="shared" si="321"/>
        <v>0.687114255802123i</v>
      </c>
      <c r="AH538" s="98">
        <f t="shared" si="335"/>
        <v>0.68711425580212304</v>
      </c>
      <c r="AI538" s="98">
        <f t="shared" si="336"/>
        <v>1.5707963267948966</v>
      </c>
      <c r="AJ538" s="98" t="str">
        <f t="shared" si="322"/>
        <v>1+98.1385620553338i</v>
      </c>
      <c r="AK538" s="98">
        <f t="shared" si="337"/>
        <v>98.143656760325584</v>
      </c>
      <c r="AL538" s="98">
        <f t="shared" si="338"/>
        <v>1.5606070049687808</v>
      </c>
      <c r="AM538" s="98" t="str">
        <f t="shared" si="323"/>
        <v>1+6771.56078181802i</v>
      </c>
      <c r="AN538" s="98">
        <f t="shared" si="339"/>
        <v>6771.5608556562393</v>
      </c>
      <c r="AO538" s="98">
        <f t="shared" si="340"/>
        <v>1.5706486503544199</v>
      </c>
      <c r="AP538" s="168" t="str">
        <f t="shared" si="341"/>
        <v>-0.000036934525672934+0.00367801120430417i</v>
      </c>
      <c r="AQ538" s="98">
        <f t="shared" si="342"/>
        <v>-48.68730111549732</v>
      </c>
      <c r="AR538" s="169">
        <f t="shared" si="343"/>
        <v>90.575343899964139</v>
      </c>
      <c r="AS538" s="168" t="str">
        <f t="shared" si="344"/>
        <v>-2.90131202376958E-06+1.20585059473614E-06i</v>
      </c>
      <c r="AT538" s="190">
        <f t="shared" si="345"/>
        <v>-110.05608618090677</v>
      </c>
      <c r="AU538" s="169">
        <f t="shared" si="346"/>
        <v>157.43112959307683</v>
      </c>
      <c r="AV538" s="225"/>
      <c r="AX538">
        <f t="shared" si="347"/>
        <v>0</v>
      </c>
      <c r="AY538">
        <f t="shared" si="348"/>
        <v>0</v>
      </c>
    </row>
    <row r="539" spans="14:51" x14ac:dyDescent="0.3">
      <c r="N539" s="170">
        <v>21</v>
      </c>
      <c r="O539" s="199">
        <f t="shared" si="314"/>
        <v>1621810.0973589318</v>
      </c>
      <c r="P539" s="189" t="str">
        <f t="shared" si="315"/>
        <v>108.75</v>
      </c>
      <c r="Q539" s="160" t="str">
        <f t="shared" si="316"/>
        <v>1+25862.5585051437i</v>
      </c>
      <c r="R539" s="160">
        <f t="shared" si="324"/>
        <v>25862.558524476666</v>
      </c>
      <c r="S539" s="160">
        <f t="shared" si="325"/>
        <v>1.5707576608601515</v>
      </c>
      <c r="T539" s="160" t="str">
        <f t="shared" si="317"/>
        <v>1+0.957872537227546i</v>
      </c>
      <c r="U539" s="160">
        <f t="shared" si="326"/>
        <v>1.3847453908840919</v>
      </c>
      <c r="V539" s="160">
        <f t="shared" si="327"/>
        <v>0.76388452428517872</v>
      </c>
      <c r="W539" s="98" t="str">
        <f t="shared" si="318"/>
        <v>1-7.60863291982165i</v>
      </c>
      <c r="X539" s="160">
        <f t="shared" si="328"/>
        <v>7.6740663867726431</v>
      </c>
      <c r="Y539" s="160">
        <f t="shared" si="329"/>
        <v>-1.4401156851655739</v>
      </c>
      <c r="Z539" s="98" t="str">
        <f t="shared" si="319"/>
        <v>-52.1300187732934+14.6763279313822i</v>
      </c>
      <c r="AA539" s="160">
        <f t="shared" si="330"/>
        <v>54.156564319142248</v>
      </c>
      <c r="AB539" s="160">
        <f t="shared" si="331"/>
        <v>2.8671628358677226</v>
      </c>
      <c r="AC539" s="171" t="str">
        <f t="shared" si="332"/>
        <v>0.000322644858449385+0.000759392130583094i</v>
      </c>
      <c r="AD539" s="190">
        <f t="shared" si="333"/>
        <v>-61.669956913419242</v>
      </c>
      <c r="AE539" s="169">
        <f t="shared" si="334"/>
        <v>66.980694229212148</v>
      </c>
      <c r="AF539" s="98" t="str">
        <f t="shared" si="320"/>
        <v>-0.0000366300366300366</v>
      </c>
      <c r="AG539" s="98" t="str">
        <f t="shared" si="321"/>
        <v>0.703119202858518i</v>
      </c>
      <c r="AH539" s="98">
        <f t="shared" si="335"/>
        <v>0.70311920285851803</v>
      </c>
      <c r="AI539" s="98">
        <f t="shared" si="336"/>
        <v>1.5707963267948966</v>
      </c>
      <c r="AJ539" s="98" t="str">
        <f t="shared" si="322"/>
        <v>1+100.424502823733i</v>
      </c>
      <c r="AK539" s="98">
        <f t="shared" si="337"/>
        <v>100.42948156489683</v>
      </c>
      <c r="AL539" s="98">
        <f t="shared" si="338"/>
        <v>1.5608389267408671</v>
      </c>
      <c r="AM539" s="98" t="str">
        <f t="shared" si="323"/>
        <v>1+6929.29069483754i</v>
      </c>
      <c r="AN539" s="98">
        <f t="shared" si="339"/>
        <v>6929.2907669949973</v>
      </c>
      <c r="AO539" s="98">
        <f t="shared" si="340"/>
        <v>1.5706520118805574</v>
      </c>
      <c r="AP539" s="168" t="str">
        <f t="shared" si="341"/>
        <v>-0.0000352723629998872+0.00359430599930425i</v>
      </c>
      <c r="AQ539" s="98">
        <f t="shared" si="342"/>
        <v>-48.887280826822717</v>
      </c>
      <c r="AR539" s="169">
        <f t="shared" si="343"/>
        <v>90.562248362506779</v>
      </c>
      <c r="AS539" s="168" t="str">
        <f t="shared" si="344"/>
        <v>-2.74086813734653E-06+1.13289879548011E-06i</v>
      </c>
      <c r="AT539" s="190">
        <f t="shared" si="345"/>
        <v>-110.55723774024194</v>
      </c>
      <c r="AU539" s="169">
        <f t="shared" si="346"/>
        <v>157.54294259171897</v>
      </c>
      <c r="AV539" s="225"/>
      <c r="AX539">
        <f t="shared" si="347"/>
        <v>0</v>
      </c>
      <c r="AY539">
        <f t="shared" si="348"/>
        <v>0</v>
      </c>
    </row>
    <row r="540" spans="14:51" x14ac:dyDescent="0.3">
      <c r="N540" s="170">
        <v>22</v>
      </c>
      <c r="O540" s="199">
        <f t="shared" si="314"/>
        <v>1659586.9074375622</v>
      </c>
      <c r="P540" s="189" t="str">
        <f t="shared" si="315"/>
        <v>108.75</v>
      </c>
      <c r="Q540" s="160" t="str">
        <f t="shared" si="316"/>
        <v>1+26464.9748807646i</v>
      </c>
      <c r="R540" s="160">
        <f t="shared" si="324"/>
        <v>26464.974899657493</v>
      </c>
      <c r="S540" s="160">
        <f t="shared" si="325"/>
        <v>1.5707585410042797</v>
      </c>
      <c r="T540" s="160" t="str">
        <f t="shared" si="317"/>
        <v>1+0.980184254843137i</v>
      </c>
      <c r="U540" s="160">
        <f t="shared" si="326"/>
        <v>1.4002718212698546</v>
      </c>
      <c r="V540" s="160">
        <f t="shared" si="327"/>
        <v>0.77539147654723029</v>
      </c>
      <c r="W540" s="98" t="str">
        <f t="shared" si="318"/>
        <v>1-7.78586074769017i</v>
      </c>
      <c r="X540" s="160">
        <f t="shared" si="328"/>
        <v>7.8498170413343082</v>
      </c>
      <c r="Y540" s="160">
        <f t="shared" si="329"/>
        <v>-1.4430577175897081</v>
      </c>
      <c r="Z540" s="98" t="str">
        <f t="shared" si="319"/>
        <v>-54.633959415996+15.0181835245978i</v>
      </c>
      <c r="AA540" s="160">
        <f t="shared" si="330"/>
        <v>56.660527334708064</v>
      </c>
      <c r="AB540" s="160">
        <f t="shared" si="331"/>
        <v>2.8733311891099373</v>
      </c>
      <c r="AC540" s="171" t="str">
        <f t="shared" si="332"/>
        <v>0.000309966422779484+0.000734435346592377i</v>
      </c>
      <c r="AD540" s="190">
        <f t="shared" si="333"/>
        <v>-61.969018981704423</v>
      </c>
      <c r="AE540" s="169">
        <f t="shared" si="334"/>
        <v>67.117956951924029</v>
      </c>
      <c r="AF540" s="98" t="str">
        <f t="shared" si="320"/>
        <v>-0.0000366300366300366</v>
      </c>
      <c r="AG540" s="98" t="str">
        <f t="shared" si="321"/>
        <v>0.719496953023152i</v>
      </c>
      <c r="AH540" s="98">
        <f t="shared" si="335"/>
        <v>0.71949695302315197</v>
      </c>
      <c r="AI540" s="98">
        <f t="shared" si="336"/>
        <v>1.5707963267948966</v>
      </c>
      <c r="AJ540" s="98" t="str">
        <f t="shared" si="322"/>
        <v>1+102.763689992805i</v>
      </c>
      <c r="AK540" s="98">
        <f t="shared" si="337"/>
        <v>102.76855540941173</v>
      </c>
      <c r="AL540" s="98">
        <f t="shared" si="338"/>
        <v>1.5610655703639964</v>
      </c>
      <c r="AM540" s="98" t="str">
        <f t="shared" si="323"/>
        <v>1+7090.69460950351i</v>
      </c>
      <c r="AN540" s="98">
        <f t="shared" si="339"/>
        <v>7090.6946800184633</v>
      </c>
      <c r="AO540" s="98">
        <f t="shared" si="340"/>
        <v>1.5706552968890211</v>
      </c>
      <c r="AP540" s="168" t="str">
        <f t="shared" si="341"/>
        <v>-0.000033684995469892+0.00351250505279922i</v>
      </c>
      <c r="AQ540" s="98">
        <f t="shared" si="342"/>
        <v>-49.087261451200384</v>
      </c>
      <c r="AR540" s="169">
        <f t="shared" si="343"/>
        <v>90.549450856568569</v>
      </c>
      <c r="AS540" s="168" t="str">
        <f t="shared" si="344"/>
        <v>-2.59014908340722E-06+1.06401917488814E-06i</v>
      </c>
      <c r="AT540" s="190">
        <f t="shared" si="345"/>
        <v>-111.0562804329048</v>
      </c>
      <c r="AU540" s="169">
        <f t="shared" si="346"/>
        <v>157.66740780849273</v>
      </c>
      <c r="AV540" s="225"/>
      <c r="AX540">
        <f t="shared" si="347"/>
        <v>0</v>
      </c>
      <c r="AY540">
        <f t="shared" si="348"/>
        <v>0</v>
      </c>
    </row>
    <row r="541" spans="14:51" x14ac:dyDescent="0.3">
      <c r="N541" s="170">
        <v>23</v>
      </c>
      <c r="O541" s="199">
        <f t="shared" si="314"/>
        <v>1698243.6524617488</v>
      </c>
      <c r="P541" s="189" t="str">
        <f t="shared" si="315"/>
        <v>108.75</v>
      </c>
      <c r="Q541" s="160" t="str">
        <f t="shared" si="316"/>
        <v>1+27081.4233363728i</v>
      </c>
      <c r="R541" s="160">
        <f t="shared" si="324"/>
        <v>27081.423354835639</v>
      </c>
      <c r="S541" s="160">
        <f t="shared" si="325"/>
        <v>1.5707594011138819</v>
      </c>
      <c r="T541" s="160" t="str">
        <f t="shared" si="317"/>
        <v>1+1.00301567912492i</v>
      </c>
      <c r="U541" s="160">
        <f t="shared" si="326"/>
        <v>1.4163475747747885</v>
      </c>
      <c r="V541" s="160">
        <f t="shared" si="327"/>
        <v>0.78690373166521876</v>
      </c>
      <c r="W541" s="98" t="str">
        <f t="shared" si="318"/>
        <v>1-7.96721674198519i</v>
      </c>
      <c r="X541" s="160">
        <f t="shared" si="328"/>
        <v>8.0297286762236944</v>
      </c>
      <c r="Y541" s="160">
        <f t="shared" si="329"/>
        <v>-1.4459349312170928</v>
      </c>
      <c r="Z541" s="98" t="str">
        <f t="shared" si="319"/>
        <v>-57.2559071455952+15.3680019575072i</v>
      </c>
      <c r="AA541" s="160">
        <f t="shared" si="330"/>
        <v>59.282496465912807</v>
      </c>
      <c r="AB541" s="160">
        <f t="shared" si="331"/>
        <v>2.8793642896575249</v>
      </c>
      <c r="AC541" s="171" t="str">
        <f t="shared" si="332"/>
        <v>0.000297701684345346+0.000710528591084087i</v>
      </c>
      <c r="AD541" s="190">
        <f t="shared" si="333"/>
        <v>-62.265959817380107</v>
      </c>
      <c r="AE541" s="169">
        <f t="shared" si="334"/>
        <v>67.266987905851067</v>
      </c>
      <c r="AF541" s="98" t="str">
        <f t="shared" si="320"/>
        <v>-0.0000366300366300366</v>
      </c>
      <c r="AG541" s="98" t="str">
        <f t="shared" si="321"/>
        <v>0.736256189995947i</v>
      </c>
      <c r="AH541" s="98">
        <f t="shared" si="335"/>
        <v>0.736256189995947</v>
      </c>
      <c r="AI541" s="98">
        <f t="shared" si="336"/>
        <v>1.5707963267948966</v>
      </c>
      <c r="AJ541" s="98" t="str">
        <f t="shared" si="322"/>
        <v>1+105.15736383055i</v>
      </c>
      <c r="AK541" s="98">
        <f t="shared" si="337"/>
        <v>105.16211850181919</v>
      </c>
      <c r="AL541" s="98">
        <f t="shared" si="338"/>
        <v>1.5612870559144276</v>
      </c>
      <c r="AM541" s="98" t="str">
        <f t="shared" si="323"/>
        <v>1+7255.8581043079i</v>
      </c>
      <c r="AN541" s="98">
        <f t="shared" si="339"/>
        <v>7255.8581732177372</v>
      </c>
      <c r="AO541" s="98">
        <f t="shared" si="340"/>
        <v>1.570658507121566</v>
      </c>
      <c r="AP541" s="168" t="str">
        <f t="shared" si="341"/>
        <v>-0.0000321690580226887+0.00343256509228509i</v>
      </c>
      <c r="AQ541" s="98">
        <f t="shared" si="342"/>
        <v>-49.287242947543987</v>
      </c>
      <c r="AR541" s="169">
        <f t="shared" si="343"/>
        <v>90.536944602081803</v>
      </c>
      <c r="AS541" s="168" t="str">
        <f t="shared" si="344"/>
        <v>-0.0000024485124215829+9.99023374124946E-07i</v>
      </c>
      <c r="AT541" s="190">
        <f t="shared" si="345"/>
        <v>-111.55320276492409</v>
      </c>
      <c r="AU541" s="169">
        <f t="shared" si="346"/>
        <v>157.80393250793287</v>
      </c>
      <c r="AV541" s="225"/>
      <c r="AX541">
        <f t="shared" si="347"/>
        <v>0</v>
      </c>
      <c r="AY541">
        <f t="shared" si="348"/>
        <v>0</v>
      </c>
    </row>
    <row r="542" spans="14:51" x14ac:dyDescent="0.3">
      <c r="N542" s="170">
        <v>24</v>
      </c>
      <c r="O542" s="199">
        <f t="shared" si="314"/>
        <v>1737800.8287493798</v>
      </c>
      <c r="P542" s="189" t="str">
        <f t="shared" si="315"/>
        <v>108.75</v>
      </c>
      <c r="Q542" s="160" t="str">
        <f t="shared" si="316"/>
        <v>1+27712.2307210986i</v>
      </c>
      <c r="R542" s="160">
        <f t="shared" si="324"/>
        <v>27712.230739141174</v>
      </c>
      <c r="S542" s="160">
        <f t="shared" si="325"/>
        <v>1.5707602416449991</v>
      </c>
      <c r="T542" s="160" t="str">
        <f t="shared" si="317"/>
        <v>1+1.02637891559625i</v>
      </c>
      <c r="U542" s="160">
        <f t="shared" si="326"/>
        <v>1.4329876755857092</v>
      </c>
      <c r="V542" s="160">
        <f t="shared" si="327"/>
        <v>0.7984151887273726</v>
      </c>
      <c r="W542" s="98" t="str">
        <f t="shared" si="318"/>
        <v>1-8.1527970600553i</v>
      </c>
      <c r="X542" s="160">
        <f t="shared" si="328"/>
        <v>8.2138967550393751</v>
      </c>
      <c r="Y542" s="160">
        <f t="shared" si="329"/>
        <v>-1.4487486609340579</v>
      </c>
      <c r="Z542" s="98" t="str">
        <f t="shared" si="319"/>
        <v>-60.0014234647547+15.725968708474i</v>
      </c>
      <c r="AA542" s="160">
        <f t="shared" si="330"/>
        <v>62.028033256074785</v>
      </c>
      <c r="AB542" s="160">
        <f t="shared" si="331"/>
        <v>2.8852648805216781</v>
      </c>
      <c r="AC542" s="171" t="str">
        <f t="shared" si="332"/>
        <v>0.000285845172624697+0.000687618957059538i</v>
      </c>
      <c r="AD542" s="190">
        <f t="shared" si="333"/>
        <v>-62.56077073807635</v>
      </c>
      <c r="AE542" s="169">
        <f t="shared" si="334"/>
        <v>67.427203862050774</v>
      </c>
      <c r="AF542" s="98" t="str">
        <f t="shared" si="320"/>
        <v>-0.0000366300366300366</v>
      </c>
      <c r="AG542" s="98" t="str">
        <f t="shared" si="321"/>
        <v>0.75340579974618i</v>
      </c>
      <c r="AH542" s="98">
        <f t="shared" si="335"/>
        <v>0.75340579974618005</v>
      </c>
      <c r="AI542" s="98">
        <f t="shared" si="336"/>
        <v>1.5707963267948966</v>
      </c>
      <c r="AJ542" s="98" t="str">
        <f t="shared" si="322"/>
        <v>1+107.606793494518i</v>
      </c>
      <c r="AK542" s="98">
        <f t="shared" si="337"/>
        <v>107.61143994098323</v>
      </c>
      <c r="AL542" s="98">
        <f t="shared" si="338"/>
        <v>1.5615035007397597</v>
      </c>
      <c r="AM542" s="98" t="str">
        <f t="shared" si="323"/>
        <v>1+7424.86875112176i</v>
      </c>
      <c r="AN542" s="98">
        <f t="shared" si="339"/>
        <v>7424.8688184630173</v>
      </c>
      <c r="AO542" s="98">
        <f t="shared" si="340"/>
        <v>1.5706616442802996</v>
      </c>
      <c r="AP542" s="168" t="str">
        <f t="shared" si="341"/>
        <v>-0.0000307213369384536+0.00335444382534213i</v>
      </c>
      <c r="AQ542" s="98">
        <f t="shared" si="342"/>
        <v>-49.487225276615575</v>
      </c>
      <c r="AR542" s="169">
        <f t="shared" si="343"/>
        <v>90.524722973047915</v>
      </c>
      <c r="AS542" s="168" t="str">
        <f t="shared" si="344"/>
        <v>-0.000002315360710557+9.37727000649676E-07i</v>
      </c>
      <c r="AT542" s="190">
        <f t="shared" si="345"/>
        <v>-112.0479960146919</v>
      </c>
      <c r="AU542" s="169">
        <f t="shared" si="346"/>
        <v>157.95192683509873</v>
      </c>
      <c r="AV542" s="225"/>
      <c r="AX542">
        <f t="shared" si="347"/>
        <v>0</v>
      </c>
      <c r="AY542">
        <f t="shared" si="348"/>
        <v>0</v>
      </c>
    </row>
    <row r="543" spans="14:51" x14ac:dyDescent="0.3">
      <c r="N543" s="170">
        <v>25</v>
      </c>
      <c r="O543" s="199">
        <f t="shared" si="314"/>
        <v>1778279.4100389241</v>
      </c>
      <c r="P543" s="189" t="str">
        <f t="shared" si="315"/>
        <v>108.75</v>
      </c>
      <c r="Q543" s="160" t="str">
        <f t="shared" si="316"/>
        <v>1+28357.7314973675i</v>
      </c>
      <c r="R543" s="160">
        <f t="shared" si="324"/>
        <v>28357.73151499937</v>
      </c>
      <c r="S543" s="160">
        <f t="shared" si="325"/>
        <v>1.5707610630432922</v>
      </c>
      <c r="T543" s="160" t="str">
        <f t="shared" si="317"/>
        <v>1+1.05028635175435i</v>
      </c>
      <c r="U543" s="160">
        <f t="shared" si="326"/>
        <v>1.4502073716132677</v>
      </c>
      <c r="V543" s="160">
        <f t="shared" si="327"/>
        <v>0.80991974893569441</v>
      </c>
      <c r="W543" s="98" t="str">
        <f t="shared" si="318"/>
        <v>1-8.34270009904168i</v>
      </c>
      <c r="X543" s="160">
        <f t="shared" si="328"/>
        <v>8.4024189935131215</v>
      </c>
      <c r="Y543" s="160">
        <f t="shared" si="329"/>
        <v>-1.4515002203099503</v>
      </c>
      <c r="Z543" s="98" t="str">
        <f t="shared" si="319"/>
        <v>-62.8763319816861+16.0922735762078i</v>
      </c>
      <c r="AA543" s="160">
        <f t="shared" si="330"/>
        <v>64.902961352489285</v>
      </c>
      <c r="AB543" s="160">
        <f t="shared" si="331"/>
        <v>2.8910356637853427</v>
      </c>
      <c r="AC543" s="171" t="str">
        <f t="shared" si="332"/>
        <v>0.000274390588625377+0.000665656349385392i</v>
      </c>
      <c r="AD543" s="190">
        <f t="shared" si="333"/>
        <v>-62.853445823277632</v>
      </c>
      <c r="AE543" s="169">
        <f t="shared" si="334"/>
        <v>67.598025279675284</v>
      </c>
      <c r="AF543" s="98" t="str">
        <f t="shared" si="320"/>
        <v>-0.0000366300366300366</v>
      </c>
      <c r="AG543" s="98" t="str">
        <f t="shared" si="321"/>
        <v>0.770954875223942i</v>
      </c>
      <c r="AH543" s="98">
        <f t="shared" si="335"/>
        <v>0.77095487522394202</v>
      </c>
      <c r="AI543" s="98">
        <f t="shared" si="336"/>
        <v>1.5707963267948966</v>
      </c>
      <c r="AJ543" s="98" t="str">
        <f t="shared" si="322"/>
        <v>1+110.113277704742i</v>
      </c>
      <c r="AK543" s="98">
        <f t="shared" si="337"/>
        <v>110.11781838958503</v>
      </c>
      <c r="AL543" s="98">
        <f t="shared" si="338"/>
        <v>1.5617150195207374</v>
      </c>
      <c r="AM543" s="98" t="str">
        <f t="shared" si="323"/>
        <v>1+7597.81616162721i</v>
      </c>
      <c r="AN543" s="98">
        <f t="shared" si="339"/>
        <v>7597.8162274355936</v>
      </c>
      <c r="AO543" s="98">
        <f t="shared" si="340"/>
        <v>1.5706647100285847</v>
      </c>
      <c r="AP543" s="168" t="str">
        <f t="shared" si="341"/>
        <v>-0.0000293387630362248+0.00327809991765333i</v>
      </c>
      <c r="AQ543" s="98">
        <f t="shared" si="342"/>
        <v>-49.687208400942858</v>
      </c>
      <c r="AR543" s="169">
        <f t="shared" si="343"/>
        <v>90.512779494047933</v>
      </c>
      <c r="AS543" s="168" t="str">
        <f t="shared" si="344"/>
        <v>-2.19013830456472E-06+8.79950232079521E-07i</v>
      </c>
      <c r="AT543" s="190">
        <f t="shared" si="345"/>
        <v>-112.5406542242205</v>
      </c>
      <c r="AU543" s="169">
        <f t="shared" si="346"/>
        <v>158.11080477372323</v>
      </c>
      <c r="AV543" s="225"/>
      <c r="AX543">
        <f t="shared" si="347"/>
        <v>0</v>
      </c>
      <c r="AY543">
        <f t="shared" si="348"/>
        <v>0</v>
      </c>
    </row>
    <row r="544" spans="14:51" x14ac:dyDescent="0.3">
      <c r="N544" s="170">
        <v>26</v>
      </c>
      <c r="O544" s="199">
        <f t="shared" si="314"/>
        <v>1819700.8586099846</v>
      </c>
      <c r="P544" s="189" t="str">
        <f t="shared" si="315"/>
        <v>108.75</v>
      </c>
      <c r="Q544" s="160" t="str">
        <f t="shared" si="316"/>
        <v>1+29018.2679182354i</v>
      </c>
      <c r="R544" s="160">
        <f t="shared" si="324"/>
        <v>29018.267935465923</v>
      </c>
      <c r="S544" s="160">
        <f t="shared" si="325"/>
        <v>1.5707618657442777</v>
      </c>
      <c r="T544" s="160" t="str">
        <f t="shared" si="317"/>
        <v>1+1.07475066363835i</v>
      </c>
      <c r="U544" s="160">
        <f t="shared" si="326"/>
        <v>1.4680221350480629</v>
      </c>
      <c r="V544" s="160">
        <f t="shared" si="327"/>
        <v>0.82141133174491643</v>
      </c>
      <c r="W544" s="98" t="str">
        <f t="shared" si="318"/>
        <v>1-8.53702654804932i</v>
      </c>
      <c r="X544" s="160">
        <f t="shared" si="328"/>
        <v>8.5953954116200446</v>
      </c>
      <c r="Y544" s="160">
        <f t="shared" si="329"/>
        <v>-1.4541909015103551</v>
      </c>
      <c r="Z544" s="98" t="str">
        <f t="shared" si="319"/>
        <v>-65.8867307628003+16.4671107803982i</v>
      </c>
      <c r="AA544" s="160">
        <f t="shared" si="330"/>
        <v>67.913378859129395</v>
      </c>
      <c r="AB544" s="160">
        <f t="shared" si="331"/>
        <v>2.896679300193771</v>
      </c>
      <c r="AC544" s="171" t="str">
        <f t="shared" si="332"/>
        <v>0.000263330926565603+0.000644593346982329i</v>
      </c>
      <c r="AD544" s="190">
        <f t="shared" si="333"/>
        <v>-63.143981895679111</v>
      </c>
      <c r="AE544" s="169">
        <f t="shared" si="334"/>
        <v>67.778877259082606</v>
      </c>
      <c r="AF544" s="98" t="str">
        <f t="shared" si="320"/>
        <v>-0.0000366300366300366</v>
      </c>
      <c r="AG544" s="98" t="str">
        <f t="shared" si="321"/>
        <v>0.788912721181343i</v>
      </c>
      <c r="AH544" s="98">
        <f t="shared" si="335"/>
        <v>0.78891272118134304</v>
      </c>
      <c r="AI544" s="98">
        <f t="shared" si="336"/>
        <v>1.5707963267948966</v>
      </c>
      <c r="AJ544" s="98" t="str">
        <f t="shared" si="322"/>
        <v>1+112.678145432328i</v>
      </c>
      <c r="AK544" s="98">
        <f t="shared" si="337"/>
        <v>112.6825827626828</v>
      </c>
      <c r="AL544" s="98">
        <f t="shared" si="338"/>
        <v>1.5619217243316672</v>
      </c>
      <c r="AM544" s="98" t="str">
        <f t="shared" si="323"/>
        <v>1+7774.79203483059i</v>
      </c>
      <c r="AN544" s="98">
        <f t="shared" si="339"/>
        <v>7774.7920991409919</v>
      </c>
      <c r="AO544" s="98">
        <f t="shared" si="340"/>
        <v>1.5706677059919214</v>
      </c>
      <c r="AP544" s="168" t="str">
        <f t="shared" si="341"/>
        <v>-0.0000280184051775897+0.00320349297150172i</v>
      </c>
      <c r="AQ544" s="98">
        <f t="shared" si="342"/>
        <v>-49.887192284739392</v>
      </c>
      <c r="AR544" s="169">
        <f t="shared" si="343"/>
        <v>90.50110783683138</v>
      </c>
      <c r="AS544" s="168" t="str">
        <f t="shared" si="344"/>
        <v>-2.07232836913097E-06+8.25518294861415E-07i</v>
      </c>
      <c r="AT544" s="190">
        <f t="shared" si="345"/>
        <v>-113.03117418041849</v>
      </c>
      <c r="AU544" s="169">
        <f t="shared" si="346"/>
        <v>158.27998509591401</v>
      </c>
      <c r="AV544" s="225"/>
      <c r="AX544">
        <f t="shared" si="347"/>
        <v>0</v>
      </c>
      <c r="AY544">
        <f t="shared" si="348"/>
        <v>0</v>
      </c>
    </row>
    <row r="545" spans="14:51" x14ac:dyDescent="0.3">
      <c r="N545" s="170">
        <v>27</v>
      </c>
      <c r="O545" s="199">
        <f t="shared" si="314"/>
        <v>1862087.1366628683</v>
      </c>
      <c r="P545" s="189" t="str">
        <f t="shared" si="315"/>
        <v>108.75</v>
      </c>
      <c r="Q545" s="160" t="str">
        <f t="shared" si="316"/>
        <v>1+29694.1902088557i</v>
      </c>
      <c r="R545" s="160">
        <f t="shared" si="324"/>
        <v>29694.190225694008</v>
      </c>
      <c r="S545" s="160">
        <f t="shared" si="325"/>
        <v>1.5707626501735579</v>
      </c>
      <c r="T545" s="160" t="str">
        <f t="shared" si="317"/>
        <v>1+1.09978482255021i</v>
      </c>
      <c r="U545" s="160">
        <f t="shared" si="326"/>
        <v>1.4864476633611414</v>
      </c>
      <c r="V545" s="160">
        <f t="shared" si="327"/>
        <v>0.83288389088371151</v>
      </c>
      <c r="W545" s="98" t="str">
        <f t="shared" si="318"/>
        <v>1-8.73587944153362i</v>
      </c>
      <c r="X545" s="160">
        <f t="shared" si="328"/>
        <v>8.792928386891921</v>
      </c>
      <c r="Y545" s="160">
        <f t="shared" si="329"/>
        <v>-1.4568219752469718</v>
      </c>
      <c r="Z545" s="98" t="str">
        <f t="shared" si="319"/>
        <v>-69.0390052675224+16.8506790646923i</v>
      </c>
      <c r="AA545" s="160">
        <f t="shared" si="330"/>
        <v>71.065671271509459</v>
      </c>
      <c r="AB545" s="160">
        <f t="shared" si="331"/>
        <v>2.9021984088340567</v>
      </c>
      <c r="AC545" s="171" t="str">
        <f t="shared" si="332"/>
        <v>0.000252658583890889+0.000624385069752092i</v>
      </c>
      <c r="AD545" s="190">
        <f t="shared" si="333"/>
        <v>-63.43237849262178</v>
      </c>
      <c r="AE545" s="169">
        <f t="shared" si="334"/>
        <v>67.969190481003992</v>
      </c>
      <c r="AF545" s="98" t="str">
        <f t="shared" si="320"/>
        <v>-0.0000366300366300366</v>
      </c>
      <c r="AG545" s="98" t="str">
        <f t="shared" si="321"/>
        <v>0.807288859106009i</v>
      </c>
      <c r="AH545" s="98">
        <f t="shared" si="335"/>
        <v>0.807288859106009</v>
      </c>
      <c r="AI545" s="98">
        <f t="shared" si="336"/>
        <v>1.5707963267948966</v>
      </c>
      <c r="AJ545" s="98" t="str">
        <f t="shared" si="322"/>
        <v>1+115.302756604093i</v>
      </c>
      <c r="AK545" s="98">
        <f t="shared" si="337"/>
        <v>115.30709293232013</v>
      </c>
      <c r="AL545" s="98">
        <f t="shared" si="338"/>
        <v>1.5621237246994804</v>
      </c>
      <c r="AM545" s="98" t="str">
        <f t="shared" si="323"/>
        <v>1+7955.89020568236i</v>
      </c>
      <c r="AN545" s="98">
        <f t="shared" si="339"/>
        <v>7955.8902685288767</v>
      </c>
      <c r="AO545" s="98">
        <f t="shared" si="340"/>
        <v>1.5706706337588088</v>
      </c>
      <c r="AP545" s="168" t="str">
        <f t="shared" si="341"/>
        <v>-0.0000267574640619577+0.00313058350473655i</v>
      </c>
      <c r="AQ545" s="98">
        <f t="shared" si="342"/>
        <v>-50.087176893828655</v>
      </c>
      <c r="AR545" s="169">
        <f t="shared" si="343"/>
        <v>90.489701816981636</v>
      </c>
      <c r="AS545" s="168" t="str">
        <f t="shared" si="344"/>
        <v>-1.96145010294808E-06+7.74261833994198E-07i</v>
      </c>
      <c r="AT545" s="190">
        <f t="shared" si="345"/>
        <v>-113.51955538645045</v>
      </c>
      <c r="AU545" s="169">
        <f t="shared" si="346"/>
        <v>158.45889229798556</v>
      </c>
      <c r="AV545" s="225"/>
      <c r="AX545">
        <f t="shared" si="347"/>
        <v>0</v>
      </c>
      <c r="AY545">
        <f t="shared" si="348"/>
        <v>0</v>
      </c>
    </row>
    <row r="546" spans="14:51" x14ac:dyDescent="0.3">
      <c r="N546" s="170">
        <v>28</v>
      </c>
      <c r="O546" s="199">
        <f t="shared" si="314"/>
        <v>1905460.7179632513</v>
      </c>
      <c r="P546" s="189" t="str">
        <f t="shared" si="315"/>
        <v>108.75</v>
      </c>
      <c r="Q546" s="160" t="str">
        <f t="shared" si="316"/>
        <v>1+30385.856752174i</v>
      </c>
      <c r="R546" s="160">
        <f t="shared" si="324"/>
        <v>30385.856768629019</v>
      </c>
      <c r="S546" s="160">
        <f t="shared" si="325"/>
        <v>1.5707634167470479</v>
      </c>
      <c r="T546" s="160" t="str">
        <f t="shared" si="317"/>
        <v>1+1.12540210193238i</v>
      </c>
      <c r="U546" s="160">
        <f t="shared" si="326"/>
        <v>1.5054998807817352</v>
      </c>
      <c r="V546" s="160">
        <f t="shared" si="327"/>
        <v>0.84433143015565082</v>
      </c>
      <c r="W546" s="98" t="str">
        <f t="shared" si="318"/>
        <v>1-8.93936421393093i</v>
      </c>
      <c r="X546" s="160">
        <f t="shared" si="328"/>
        <v>8.9951227089633932</v>
      </c>
      <c r="Y546" s="160">
        <f t="shared" si="329"/>
        <v>-1.4593946907613651</v>
      </c>
      <c r="Z546" s="98" t="str">
        <f t="shared" si="319"/>
        <v>-72.3398418927113+17.2431818020718i</v>
      </c>
      <c r="AA546" s="160">
        <f t="shared" si="330"/>
        <v>74.366525021152967</v>
      </c>
      <c r="AB546" s="160">
        <f t="shared" si="331"/>
        <v>2.907595566897307</v>
      </c>
      <c r="AC546" s="171" t="str">
        <f t="shared" si="332"/>
        <v>0.000242365460548849+0.000604989050345151i</v>
      </c>
      <c r="AD546" s="190">
        <f t="shared" si="333"/>
        <v>-63.718637827754478</v>
      </c>
      <c r="AE546" s="169">
        <f t="shared" si="334"/>
        <v>68.168402126419224</v>
      </c>
      <c r="AF546" s="98" t="str">
        <f t="shared" si="320"/>
        <v>-0.0000366300366300366</v>
      </c>
      <c r="AG546" s="98" t="str">
        <f t="shared" si="321"/>
        <v>0.826093032269505i</v>
      </c>
      <c r="AH546" s="98">
        <f t="shared" si="335"/>
        <v>0.82609303226950503</v>
      </c>
      <c r="AI546" s="98">
        <f t="shared" si="336"/>
        <v>1.5707963267948966</v>
      </c>
      <c r="AJ546" s="98" t="str">
        <f t="shared" si="322"/>
        <v>1+117.988502823622i</v>
      </c>
      <c r="AK546" s="98">
        <f t="shared" si="337"/>
        <v>117.9927404485541</v>
      </c>
      <c r="AL546" s="98">
        <f t="shared" si="338"/>
        <v>1.5623211276614686</v>
      </c>
      <c r="AM546" s="98" t="str">
        <f t="shared" si="323"/>
        <v>1+8141.20669482992i</v>
      </c>
      <c r="AN546" s="98">
        <f t="shared" si="339"/>
        <v>8141.2067562458769</v>
      </c>
      <c r="AO546" s="98">
        <f t="shared" si="340"/>
        <v>1.5706734948815875</v>
      </c>
      <c r="AP546" s="168" t="str">
        <f t="shared" si="341"/>
        <v>-0.0000255532663003683+0.00305933293019906i</v>
      </c>
      <c r="AQ546" s="98">
        <f t="shared" si="342"/>
        <v>-50.287162195571995</v>
      </c>
      <c r="AR546" s="169">
        <f t="shared" si="343"/>
        <v>90.478555390656226</v>
      </c>
      <c r="AS546" s="168" t="str">
        <f t="shared" si="344"/>
        <v>-1.85705615328619E-06+7.26017188287678E-07i</v>
      </c>
      <c r="AT546" s="190">
        <f t="shared" si="345"/>
        <v>-114.00580002332647</v>
      </c>
      <c r="AU546" s="169">
        <f t="shared" si="346"/>
        <v>158.64695751707544</v>
      </c>
      <c r="AV546" s="225"/>
      <c r="AX546">
        <f t="shared" si="347"/>
        <v>0</v>
      </c>
      <c r="AY546">
        <f t="shared" si="348"/>
        <v>0</v>
      </c>
    </row>
    <row r="547" spans="14:51" x14ac:dyDescent="0.3">
      <c r="N547" s="170">
        <v>29</v>
      </c>
      <c r="O547" s="199">
        <f t="shared" si="314"/>
        <v>1949844.5997580495</v>
      </c>
      <c r="P547" s="189" t="str">
        <f t="shared" si="315"/>
        <v>108.75</v>
      </c>
      <c r="Q547" s="160" t="str">
        <f t="shared" si="316"/>
        <v>1+31093.6342789463i</v>
      </c>
      <c r="R547" s="160">
        <f t="shared" si="324"/>
        <v>31093.634295026764</v>
      </c>
      <c r="S547" s="160">
        <f t="shared" si="325"/>
        <v>1.5707641658711948</v>
      </c>
      <c r="T547" s="160" t="str">
        <f t="shared" si="317"/>
        <v>1+1.15161608440542i</v>
      </c>
      <c r="U547" s="160">
        <f t="shared" si="326"/>
        <v>1.5251949402818223</v>
      </c>
      <c r="V547" s="160">
        <f t="shared" si="327"/>
        <v>0.85574801891970098</v>
      </c>
      <c r="W547" s="98" t="str">
        <f t="shared" si="318"/>
        <v>1-9.14758875556082i</v>
      </c>
      <c r="X547" s="160">
        <f t="shared" si="328"/>
        <v>9.2020856353797722</v>
      </c>
      <c r="Y547" s="160">
        <f t="shared" si="329"/>
        <v>-1.4619102758399458</v>
      </c>
      <c r="Z547" s="98" t="str">
        <f t="shared" si="319"/>
        <v>-75.796242155396+17.644827102683i</v>
      </c>
      <c r="AA547" s="160">
        <f t="shared" si="330"/>
        <v>77.822941658376081</v>
      </c>
      <c r="AB547" s="160">
        <f t="shared" si="331"/>
        <v>2.9128733095174315</v>
      </c>
      <c r="AC547" s="171" t="str">
        <f t="shared" si="332"/>
        <v>0.00023244304838417+0.000586365110826185i</v>
      </c>
      <c r="AD547" s="190">
        <f t="shared" si="333"/>
        <v>-64.002764743163283</v>
      </c>
      <c r="AE547" s="169">
        <f t="shared" si="334"/>
        <v>68.375956771885413</v>
      </c>
      <c r="AF547" s="98" t="str">
        <f t="shared" si="320"/>
        <v>-0.0000366300366300366</v>
      </c>
      <c r="AG547" s="98" t="str">
        <f t="shared" si="321"/>
        <v>0.845335210893343i</v>
      </c>
      <c r="AH547" s="98">
        <f t="shared" si="335"/>
        <v>0.84533521089334296</v>
      </c>
      <c r="AI547" s="98">
        <f t="shared" si="336"/>
        <v>1.5707963267948966</v>
      </c>
      <c r="AJ547" s="98" t="str">
        <f t="shared" si="322"/>
        <v>1+120.73680810911i</v>
      </c>
      <c r="AK547" s="98">
        <f t="shared" si="337"/>
        <v>120.74094927726902</v>
      </c>
      <c r="AL547" s="98">
        <f t="shared" si="338"/>
        <v>1.5625140378217206</v>
      </c>
      <c r="AM547" s="98" t="str">
        <f t="shared" si="323"/>
        <v>1+8330.83975952856i</v>
      </c>
      <c r="AN547" s="98">
        <f t="shared" si="339"/>
        <v>8330.8398195465179</v>
      </c>
      <c r="AO547" s="98">
        <f t="shared" si="340"/>
        <v>1.5706762908772627</v>
      </c>
      <c r="AP547" s="168" t="str">
        <f t="shared" si="341"/>
        <v>-0.0000244032587553654+0.00298970353559891i</v>
      </c>
      <c r="AQ547" s="98">
        <f t="shared" si="342"/>
        <v>-50.487148158799506</v>
      </c>
      <c r="AR547" s="169">
        <f t="shared" si="343"/>
        <v>90.467662651400303</v>
      </c>
      <c r="AS547" s="168" t="str">
        <f t="shared" si="344"/>
        <v>-0.0000017587302128445+6.80626584054932E-07i</v>
      </c>
      <c r="AT547" s="190">
        <f t="shared" si="345"/>
        <v>-114.48991290196277</v>
      </c>
      <c r="AU547" s="169">
        <f t="shared" si="346"/>
        <v>158.84361942328576</v>
      </c>
      <c r="AV547" s="225"/>
      <c r="AX547">
        <f t="shared" si="347"/>
        <v>0</v>
      </c>
      <c r="AY547">
        <f t="shared" si="348"/>
        <v>0</v>
      </c>
    </row>
    <row r="548" spans="14:51" x14ac:dyDescent="0.3">
      <c r="N548" s="170">
        <v>30</v>
      </c>
      <c r="O548" s="199">
        <f t="shared" si="314"/>
        <v>1995262.31496888</v>
      </c>
      <c r="P548" s="189" t="str">
        <f t="shared" si="315"/>
        <v>108.75</v>
      </c>
      <c r="Q548" s="160" t="str">
        <f t="shared" si="316"/>
        <v>1+31817.8980621865i</v>
      </c>
      <c r="R548" s="160">
        <f t="shared" si="324"/>
        <v>31817.898077900925</v>
      </c>
      <c r="S548" s="160">
        <f t="shared" si="325"/>
        <v>1.5707648979431945</v>
      </c>
      <c r="T548" s="160" t="str">
        <f t="shared" si="317"/>
        <v>1+1.17844066896987i</v>
      </c>
      <c r="U548" s="160">
        <f t="shared" si="326"/>
        <v>1.5455492260947741</v>
      </c>
      <c r="V548" s="160">
        <f t="shared" si="327"/>
        <v>0.86712780715429671</v>
      </c>
      <c r="W548" s="98" t="str">
        <f t="shared" si="318"/>
        <v>1-9.36066346983162i</v>
      </c>
      <c r="X548" s="160">
        <f t="shared" si="328"/>
        <v>9.4139269486989399</v>
      </c>
      <c r="Y548" s="160">
        <f t="shared" si="329"/>
        <v>-1.4643699368577257</v>
      </c>
      <c r="Z548" s="98" t="str">
        <f t="shared" si="319"/>
        <v>-79.4155375439454+18.055827924181i</v>
      </c>
      <c r="AA548" s="160">
        <f t="shared" si="330"/>
        <v>81.442252703504195</v>
      </c>
      <c r="AB548" s="160">
        <f t="shared" si="331"/>
        <v>2.9180341296809229</v>
      </c>
      <c r="AC548" s="171" t="str">
        <f t="shared" si="332"/>
        <v>0.000222882511458845+0.000568475244256572i</v>
      </c>
      <c r="AD548" s="190">
        <f t="shared" si="333"/>
        <v>-64.284766652290614</v>
      </c>
      <c r="AE548" s="169">
        <f t="shared" si="334"/>
        <v>68.591307255298759</v>
      </c>
      <c r="AF548" s="98" t="str">
        <f t="shared" si="320"/>
        <v>-0.0000366300366300366</v>
      </c>
      <c r="AG548" s="98" t="str">
        <f t="shared" si="321"/>
        <v>0.86502559743533i</v>
      </c>
      <c r="AH548" s="98">
        <f t="shared" si="335"/>
        <v>0.86502559743533003</v>
      </c>
      <c r="AI548" s="98">
        <f t="shared" si="336"/>
        <v>1.5707963267948966</v>
      </c>
      <c r="AJ548" s="98" t="str">
        <f t="shared" si="322"/>
        <v>1+123.549129648399i</v>
      </c>
      <c r="AK548" s="98">
        <f t="shared" si="337"/>
        <v>123.55317655518577</v>
      </c>
      <c r="AL548" s="98">
        <f t="shared" si="338"/>
        <v>1.5627025574062916</v>
      </c>
      <c r="AM548" s="98" t="str">
        <f t="shared" si="323"/>
        <v>1+8524.88994573947i</v>
      </c>
      <c r="AN548" s="98">
        <f t="shared" si="339"/>
        <v>8524.8900043912527</v>
      </c>
      <c r="AO548" s="98">
        <f t="shared" si="340"/>
        <v>1.5706790232283077</v>
      </c>
      <c r="AP548" s="168" t="str">
        <f t="shared" si="341"/>
        <v>-0.0000233050031350195+0.00292165846383228i</v>
      </c>
      <c r="AQ548" s="98">
        <f t="shared" si="342"/>
        <v>-50.687134753743408</v>
      </c>
      <c r="AR548" s="169">
        <f t="shared" si="343"/>
        <v>90.457017827031862</v>
      </c>
      <c r="AS548" s="168" t="str">
        <f t="shared" si="344"/>
        <v>-1.66608478648963E-06+6.37938258694349E-07i</v>
      </c>
      <c r="AT548" s="190">
        <f t="shared" si="345"/>
        <v>-114.97190140603401</v>
      </c>
      <c r="AU548" s="169">
        <f t="shared" si="346"/>
        <v>159.04832508233068</v>
      </c>
      <c r="AV548" s="225"/>
      <c r="AX548">
        <f t="shared" si="347"/>
        <v>0</v>
      </c>
      <c r="AY548">
        <f t="shared" si="348"/>
        <v>0</v>
      </c>
    </row>
    <row r="549" spans="14:51" x14ac:dyDescent="0.3">
      <c r="N549" s="170">
        <v>31</v>
      </c>
      <c r="O549" s="199">
        <f t="shared" si="314"/>
        <v>2041737.9446695296</v>
      </c>
      <c r="P549" s="189" t="str">
        <f t="shared" si="315"/>
        <v>108.75</v>
      </c>
      <c r="Q549" s="160" t="str">
        <f t="shared" si="316"/>
        <v>1+32559.0321161387i</v>
      </c>
      <c r="R549" s="160">
        <f t="shared" si="324"/>
        <v>32559.032131495424</v>
      </c>
      <c r="S549" s="160">
        <f t="shared" si="325"/>
        <v>1.5707656133512009</v>
      </c>
      <c r="T549" s="160" t="str">
        <f t="shared" si="317"/>
        <v>1+1.20589007837551i</v>
      </c>
      <c r="U549" s="160">
        <f t="shared" si="326"/>
        <v>1.5665793567912523</v>
      </c>
      <c r="V549" s="160">
        <f t="shared" si="327"/>
        <v>0.87846504001336756</v>
      </c>
      <c r="W549" s="98" t="str">
        <f t="shared" si="318"/>
        <v>1-9.57870133177712i</v>
      </c>
      <c r="X549" s="160">
        <f t="shared" si="328"/>
        <v>9.6307590149161548</v>
      </c>
      <c r="Y549" s="160">
        <f t="shared" si="329"/>
        <v>-1.466774858848483</v>
      </c>
      <c r="Z549" s="98" t="str">
        <f t="shared" si="319"/>
        <v>-83.2054050691237+18.4764021846416i</v>
      </c>
      <c r="AA549" s="160">
        <f t="shared" si="330"/>
        <v>85.232135197973207</v>
      </c>
      <c r="AB549" s="160">
        <f t="shared" si="331"/>
        <v>2.9230804782021682</v>
      </c>
      <c r="AC549" s="171" t="str">
        <f t="shared" si="332"/>
        <v>0.000213674758048848+0.000551283501179688i</v>
      </c>
      <c r="AD549" s="190">
        <f t="shared" si="333"/>
        <v>-64.564653474047205</v>
      </c>
      <c r="AE549" s="169">
        <f t="shared" si="334"/>
        <v>68.81391550727318</v>
      </c>
      <c r="AF549" s="98" t="str">
        <f t="shared" si="320"/>
        <v>-0.0000366300366300366</v>
      </c>
      <c r="AG549" s="98" t="str">
        <f t="shared" si="321"/>
        <v>0.885174631999046i</v>
      </c>
      <c r="AH549" s="98">
        <f t="shared" si="335"/>
        <v>0.885174631999046</v>
      </c>
      <c r="AI549" s="98">
        <f t="shared" si="336"/>
        <v>1.5707963267948966</v>
      </c>
      <c r="AJ549" s="98" t="str">
        <f t="shared" si="322"/>
        <v>1+126.426958571592i</v>
      </c>
      <c r="AK549" s="98">
        <f t="shared" si="337"/>
        <v>126.43091336244882</v>
      </c>
      <c r="AL549" s="98">
        <f t="shared" si="338"/>
        <v>1.5628867863171307</v>
      </c>
      <c r="AM549" s="98" t="str">
        <f t="shared" si="323"/>
        <v>1+8723.46014143983i</v>
      </c>
      <c r="AN549" s="98">
        <f t="shared" si="339"/>
        <v>8723.4601987565347</v>
      </c>
      <c r="AO549" s="98">
        <f t="shared" si="340"/>
        <v>1.5706816933834513</v>
      </c>
      <c r="AP549" s="168" t="str">
        <f t="shared" si="341"/>
        <v>-0.0000222561708297068+0.00285516169373205i</v>
      </c>
      <c r="AQ549" s="98">
        <f t="shared" si="342"/>
        <v>-50.887121951975615</v>
      </c>
      <c r="AR549" s="169">
        <f t="shared" si="343"/>
        <v>90.446615276596873</v>
      </c>
      <c r="AS549" s="168" t="str">
        <f t="shared" si="344"/>
        <v>-1.57875911687186E-06+5.97806524320681E-07i</v>
      </c>
      <c r="AT549" s="190">
        <f t="shared" si="345"/>
        <v>-115.45177542602283</v>
      </c>
      <c r="AU549" s="169">
        <f t="shared" si="346"/>
        <v>159.26053078387</v>
      </c>
      <c r="AV549" s="225"/>
      <c r="AX549">
        <f t="shared" si="347"/>
        <v>0</v>
      </c>
      <c r="AY549">
        <f t="shared" si="348"/>
        <v>0</v>
      </c>
    </row>
    <row r="550" spans="14:51" x14ac:dyDescent="0.3">
      <c r="N550" s="170">
        <v>32</v>
      </c>
      <c r="O550" s="199">
        <f t="shared" si="314"/>
        <v>2089296.1308540432</v>
      </c>
      <c r="P550" s="189" t="str">
        <f t="shared" si="315"/>
        <v>108.75</v>
      </c>
      <c r="Q550" s="160" t="str">
        <f t="shared" si="316"/>
        <v>1+33317.4293998889i</v>
      </c>
      <c r="R550" s="160">
        <f t="shared" si="324"/>
        <v>33317.429414896054</v>
      </c>
      <c r="S550" s="160">
        <f t="shared" si="325"/>
        <v>1.570766312474533</v>
      </c>
      <c r="T550" s="160" t="str">
        <f t="shared" si="317"/>
        <v>1+1.23397886666256i</v>
      </c>
      <c r="U550" s="160">
        <f t="shared" si="326"/>
        <v>1.5883021889331439</v>
      </c>
      <c r="V550" s="160">
        <f t="shared" si="327"/>
        <v>0.88975407178918009</v>
      </c>
      <c r="W550" s="98" t="str">
        <f t="shared" si="318"/>
        <v>1-9.80181794795791i</v>
      </c>
      <c r="X550" s="160">
        <f t="shared" si="328"/>
        <v>9.8526968432460063</v>
      </c>
      <c r="Y550" s="160">
        <f t="shared" si="329"/>
        <v>-1.469126205599173</v>
      </c>
      <c r="Z550" s="98" t="str">
        <f t="shared" si="319"/>
        <v>-87.1738835480704+18.9067728781046i</v>
      </c>
      <c r="AA550" s="160">
        <f t="shared" si="330"/>
        <v>89.20062798835427</v>
      </c>
      <c r="AB550" s="160">
        <f t="shared" si="331"/>
        <v>2.9280147637593359</v>
      </c>
      <c r="AC550" s="171" t="str">
        <f t="shared" si="332"/>
        <v>0.000204810505015995+0.000534755880966668i</v>
      </c>
      <c r="AD550" s="190">
        <f t="shared" si="333"/>
        <v>-64.842437558597737</v>
      </c>
      <c r="AE550" s="169">
        <f t="shared" si="334"/>
        <v>69.043253343675744</v>
      </c>
      <c r="AF550" s="98" t="str">
        <f t="shared" si="320"/>
        <v>-0.0000366300366300366</v>
      </c>
      <c r="AG550" s="98" t="str">
        <f t="shared" si="321"/>
        <v>0.90579299786932i</v>
      </c>
      <c r="AH550" s="98">
        <f t="shared" si="335"/>
        <v>0.90579299786931999</v>
      </c>
      <c r="AI550" s="98">
        <f t="shared" si="336"/>
        <v>1.5707963267948966</v>
      </c>
      <c r="AJ550" s="98" t="str">
        <f t="shared" si="322"/>
        <v>1+129.37182074168i</v>
      </c>
      <c r="AK550" s="98">
        <f t="shared" si="337"/>
        <v>129.3756855132269</v>
      </c>
      <c r="AL550" s="98">
        <f t="shared" si="338"/>
        <v>1.5630668221847941</v>
      </c>
      <c r="AM550" s="98" t="str">
        <f t="shared" si="323"/>
        <v>1+8926.65563117591i</v>
      </c>
      <c r="AN550" s="98">
        <f t="shared" si="339"/>
        <v>8926.6556871879275</v>
      </c>
      <c r="AO550" s="98">
        <f t="shared" si="340"/>
        <v>1.5706843027584452</v>
      </c>
      <c r="AP550" s="168" t="str">
        <f t="shared" si="341"/>
        <v>-0.0000212545379807765+0.00279017802124211i</v>
      </c>
      <c r="AQ550" s="98">
        <f t="shared" si="342"/>
        <v>-51.087109726347023</v>
      </c>
      <c r="AR550" s="169">
        <f t="shared" si="343"/>
        <v>90.436449487393091</v>
      </c>
      <c r="AS550" s="168" t="str">
        <f t="shared" si="344"/>
        <v>-1.49641725846088E-06+5.60091780432677E-07i</v>
      </c>
      <c r="AT550" s="190">
        <f t="shared" si="345"/>
        <v>-115.92954728494477</v>
      </c>
      <c r="AU550" s="169">
        <f t="shared" si="346"/>
        <v>159.47970283106878</v>
      </c>
      <c r="AV550" s="225"/>
      <c r="AX550">
        <f t="shared" si="347"/>
        <v>0</v>
      </c>
      <c r="AY550">
        <f t="shared" si="348"/>
        <v>0</v>
      </c>
    </row>
    <row r="551" spans="14:51" x14ac:dyDescent="0.3">
      <c r="N551" s="170">
        <v>33</v>
      </c>
      <c r="O551" s="199">
        <f t="shared" si="314"/>
        <v>2137962.0895022359</v>
      </c>
      <c r="P551" s="189" t="str">
        <f t="shared" si="315"/>
        <v>108.75</v>
      </c>
      <c r="Q551" s="160" t="str">
        <f t="shared" si="316"/>
        <v>1+34093.492025715i</v>
      </c>
      <c r="R551" s="160">
        <f t="shared" si="324"/>
        <v>34093.492040380559</v>
      </c>
      <c r="S551" s="160">
        <f t="shared" si="325"/>
        <v>1.5707669956838752</v>
      </c>
      <c r="T551" s="160" t="str">
        <f t="shared" si="317"/>
        <v>1+1.26272192687834i</v>
      </c>
      <c r="U551" s="160">
        <f t="shared" si="326"/>
        <v>1.6107348213220412</v>
      </c>
      <c r="V551" s="160">
        <f t="shared" si="327"/>
        <v>0.90098937920316302</v>
      </c>
      <c r="W551" s="98" t="str">
        <f t="shared" si="318"/>
        <v>1-10.030131617757i</v>
      </c>
      <c r="X551" s="160">
        <f t="shared" si="328"/>
        <v>10.079858147291988</v>
      </c>
      <c r="Y551" s="160">
        <f t="shared" si="329"/>
        <v>-1.471425119766492</v>
      </c>
      <c r="Z551" s="98" t="str">
        <f t="shared" si="319"/>
        <v>-91.3293906556998+19.3471681928083i</v>
      </c>
      <c r="AA551" s="160">
        <f t="shared" si="330"/>
        <v>93.356148777797387</v>
      </c>
      <c r="AB551" s="160">
        <f t="shared" si="331"/>
        <v>2.932839352985936</v>
      </c>
      <c r="AC551" s="171" t="str">
        <f t="shared" si="332"/>
        <v>0.000196280335204841+0.000518860227956828i</v>
      </c>
      <c r="AD551" s="190">
        <f t="shared" si="333"/>
        <v>-65.118133605361237</v>
      </c>
      <c r="AE551" s="169">
        <f t="shared" si="334"/>
        <v>69.278803215198394</v>
      </c>
      <c r="AF551" s="98" t="str">
        <f t="shared" si="320"/>
        <v>-0.0000366300366300366</v>
      </c>
      <c r="AG551" s="98" t="str">
        <f t="shared" si="321"/>
        <v>0.926891627176652i</v>
      </c>
      <c r="AH551" s="98">
        <f t="shared" si="335"/>
        <v>0.92689162717665197</v>
      </c>
      <c r="AI551" s="98">
        <f t="shared" si="336"/>
        <v>1.5707963267948966</v>
      </c>
      <c r="AJ551" s="98" t="str">
        <f t="shared" si="322"/>
        <v>1+132.385277563563i</v>
      </c>
      <c r="AK551" s="98">
        <f t="shared" si="337"/>
        <v>132.38905436470802</v>
      </c>
      <c r="AL551" s="98">
        <f t="shared" si="338"/>
        <v>1.563242760419971</v>
      </c>
      <c r="AM551" s="98" t="str">
        <f t="shared" si="323"/>
        <v>1+9134.58415188582i</v>
      </c>
      <c r="AN551" s="98">
        <f t="shared" si="339"/>
        <v>9134.5842066228488</v>
      </c>
      <c r="AO551" s="98">
        <f t="shared" si="340"/>
        <v>1.5706868527368139</v>
      </c>
      <c r="AP551" s="168" t="str">
        <f t="shared" si="341"/>
        <v>-0.000020297980770706+0.00272667304100641i</v>
      </c>
      <c r="AQ551" s="98">
        <f t="shared" si="342"/>
        <v>-51.287098050930268</v>
      </c>
      <c r="AR551" s="169">
        <f t="shared" si="343"/>
        <v>90.426515072060852</v>
      </c>
      <c r="AS551" s="168" t="str">
        <f t="shared" si="344"/>
        <v>-1.41874629008998E-06+5.2466048355299E-07i</v>
      </c>
      <c r="AT551" s="190">
        <f t="shared" si="345"/>
        <v>-116.40523165629149</v>
      </c>
      <c r="AU551" s="169">
        <f t="shared" si="346"/>
        <v>159.70531828725925</v>
      </c>
      <c r="AV551" s="225"/>
      <c r="AX551">
        <f t="shared" si="347"/>
        <v>0</v>
      </c>
      <c r="AY551">
        <f t="shared" si="348"/>
        <v>0</v>
      </c>
    </row>
    <row r="552" spans="14:51" x14ac:dyDescent="0.3">
      <c r="N552" s="170">
        <v>34</v>
      </c>
      <c r="O552" s="199">
        <f t="shared" si="314"/>
        <v>2187761.6239495561</v>
      </c>
      <c r="P552" s="189" t="str">
        <f t="shared" si="315"/>
        <v>108.75</v>
      </c>
      <c r="Q552" s="160" t="str">
        <f t="shared" si="316"/>
        <v>1+34887.631472294i</v>
      </c>
      <c r="R552" s="160">
        <f t="shared" si="324"/>
        <v>34887.631486625723</v>
      </c>
      <c r="S552" s="160">
        <f t="shared" si="325"/>
        <v>1.5707676633414742</v>
      </c>
      <c r="T552" s="160" t="str">
        <f t="shared" si="317"/>
        <v>1+1.29213449897386i</v>
      </c>
      <c r="U552" s="160">
        <f t="shared" si="326"/>
        <v>1.633894599855948</v>
      </c>
      <c r="V552" s="160">
        <f t="shared" si="327"/>
        <v>0.91216557395381459</v>
      </c>
      <c r="W552" s="98" t="str">
        <f t="shared" si="318"/>
        <v>1-10.2637633961044i</v>
      </c>
      <c r="X552" s="160">
        <f t="shared" si="328"/>
        <v>10.312363407639031</v>
      </c>
      <c r="Y552" s="160">
        <f t="shared" si="329"/>
        <v>-1.4736727230136861</v>
      </c>
      <c r="Z552" s="98" t="str">
        <f t="shared" si="319"/>
        <v>-95.6807407797271+19.7978216321778i</v>
      </c>
      <c r="AA552" s="160">
        <f t="shared" si="330"/>
        <v>97.707511981100311</v>
      </c>
      <c r="AB552" s="160">
        <f t="shared" si="331"/>
        <v>2.9375565706136513</v>
      </c>
      <c r="AC552" s="171" t="str">
        <f t="shared" si="332"/>
        <v>0.000188074748467383+0.000503566132306646i</v>
      </c>
      <c r="AD552" s="190">
        <f t="shared" si="333"/>
        <v>-65.391758573833812</v>
      </c>
      <c r="AE552" s="169">
        <f t="shared" si="334"/>
        <v>69.520058910267551</v>
      </c>
      <c r="AF552" s="98" t="str">
        <f t="shared" si="320"/>
        <v>-0.0000366300366300366</v>
      </c>
      <c r="AG552" s="98" t="str">
        <f t="shared" si="321"/>
        <v>0.948481706693573i</v>
      </c>
      <c r="AH552" s="98">
        <f t="shared" si="335"/>
        <v>0.94848170669357301</v>
      </c>
      <c r="AI552" s="98">
        <f t="shared" si="336"/>
        <v>1.5707963267948966</v>
      </c>
      <c r="AJ552" s="98" t="str">
        <f t="shared" si="322"/>
        <v>1+135.468926811937i</v>
      </c>
      <c r="AK552" s="98">
        <f t="shared" si="337"/>
        <v>135.47261764496153</v>
      </c>
      <c r="AL552" s="98">
        <f t="shared" si="338"/>
        <v>1.5634146942638492</v>
      </c>
      <c r="AM552" s="98" t="str">
        <f t="shared" si="323"/>
        <v>1+9347.3559500236i</v>
      </c>
      <c r="AN552" s="98">
        <f t="shared" si="339"/>
        <v>9347.3560035146638</v>
      </c>
      <c r="AO552" s="98">
        <f t="shared" si="340"/>
        <v>1.5706893446705898</v>
      </c>
      <c r="AP552" s="168" t="str">
        <f t="shared" si="341"/>
        <v>-0.0000193844709248182+0.00266461312836471i</v>
      </c>
      <c r="AQ552" s="98">
        <f t="shared" si="342"/>
        <v>-51.487086900964457</v>
      </c>
      <c r="AR552" s="169">
        <f t="shared" si="343"/>
        <v>90.416806765739366</v>
      </c>
      <c r="AS552" s="168" t="str">
        <f t="shared" si="344"/>
        <v>-1.34545465663749E-06+4.91385080829658E-07i</v>
      </c>
      <c r="AT552" s="190">
        <f t="shared" si="345"/>
        <v>-116.87884547479825</v>
      </c>
      <c r="AU552" s="169">
        <f t="shared" si="346"/>
        <v>159.93686567600693</v>
      </c>
      <c r="AV552" s="225"/>
      <c r="AX552">
        <f t="shared" si="347"/>
        <v>0</v>
      </c>
      <c r="AY552">
        <f t="shared" si="348"/>
        <v>0</v>
      </c>
    </row>
    <row r="553" spans="14:51" x14ac:dyDescent="0.3">
      <c r="N553" s="170">
        <v>35</v>
      </c>
      <c r="O553" s="199">
        <f t="shared" si="314"/>
        <v>2238721.1385683389</v>
      </c>
      <c r="P553" s="189" t="str">
        <f t="shared" si="315"/>
        <v>108.75</v>
      </c>
      <c r="Q553" s="160" t="str">
        <f t="shared" si="316"/>
        <v>1+35700.2688028718i</v>
      </c>
      <c r="R553" s="160">
        <f t="shared" si="324"/>
        <v>35700.268816877287</v>
      </c>
      <c r="S553" s="160">
        <f t="shared" si="325"/>
        <v>1.5707683158013308</v>
      </c>
      <c r="T553" s="160" t="str">
        <f t="shared" si="317"/>
        <v>1+1.32223217788414i</v>
      </c>
      <c r="U553" s="160">
        <f t="shared" si="326"/>
        <v>1.6577991230038205</v>
      </c>
      <c r="V553" s="160">
        <f t="shared" si="327"/>
        <v>0.9232774144586875</v>
      </c>
      <c r="W553" s="98" t="str">
        <f t="shared" si="318"/>
        <v>1-10.5028371576613i</v>
      </c>
      <c r="X553" s="160">
        <f t="shared" si="328"/>
        <v>10.550335935900378</v>
      </c>
      <c r="Y553" s="160">
        <f t="shared" si="329"/>
        <v>-1.475870116165753</v>
      </c>
      <c r="Z553" s="98" t="str">
        <f t="shared" si="319"/>
        <v>-100.23716371716+20.2589721386318i</v>
      </c>
      <c r="AA553" s="160">
        <f t="shared" si="330"/>
        <v>102.26394742124224</v>
      </c>
      <c r="AB553" s="160">
        <f t="shared" si="331"/>
        <v>2.9421686996621057</v>
      </c>
      <c r="AC553" s="171" t="str">
        <f t="shared" si="332"/>
        <v>0.000180184206874317+0.000488844835445042i</v>
      </c>
      <c r="AD553" s="190">
        <f t="shared" si="333"/>
        <v>-65.663331587887612</v>
      </c>
      <c r="AE553" s="169">
        <f t="shared" si="334"/>
        <v>69.766526208032786</v>
      </c>
      <c r="AF553" s="98" t="str">
        <f t="shared" si="320"/>
        <v>-0.0000366300366300366</v>
      </c>
      <c r="AG553" s="98" t="str">
        <f t="shared" si="321"/>
        <v>0.970574683766021i</v>
      </c>
      <c r="AH553" s="98">
        <f t="shared" si="335"/>
        <v>0.97057468376602096</v>
      </c>
      <c r="AI553" s="98">
        <f t="shared" si="336"/>
        <v>1.5707963267948966</v>
      </c>
      <c r="AJ553" s="98" t="str">
        <f t="shared" si="322"/>
        <v>1+138.624403478448i</v>
      </c>
      <c r="AK553" s="98">
        <f t="shared" si="337"/>
        <v>138.62801030006722</v>
      </c>
      <c r="AL553" s="98">
        <f t="shared" si="338"/>
        <v>1.5635827148373445</v>
      </c>
      <c r="AM553" s="98" t="str">
        <f t="shared" si="323"/>
        <v>1+9565.08384001292i</v>
      </c>
      <c r="AN553" s="98">
        <f t="shared" si="339"/>
        <v>9565.0838922863768</v>
      </c>
      <c r="AO553" s="98">
        <f t="shared" si="340"/>
        <v>1.5706917798810291</v>
      </c>
      <c r="AP553" s="168" t="str">
        <f t="shared" si="341"/>
        <v>-0.0000185120714150779+0.00260396542174622i</v>
      </c>
      <c r="AQ553" s="98">
        <f t="shared" si="342"/>
        <v>-51.687076252802967</v>
      </c>
      <c r="AR553" s="169">
        <f t="shared" si="343"/>
        <v>90.40731942328712</v>
      </c>
      <c r="AS553" s="168" t="str">
        <f t="shared" si="344"/>
        <v>-1.27627063100364E-06+4.60143913740838E-07i</v>
      </c>
      <c r="AT553" s="190">
        <f t="shared" si="345"/>
        <v>-117.35040784069056</v>
      </c>
      <c r="AU553" s="169">
        <f t="shared" si="346"/>
        <v>160.17384563131995</v>
      </c>
      <c r="AV553" s="225"/>
      <c r="AX553">
        <f t="shared" si="347"/>
        <v>0</v>
      </c>
      <c r="AY553">
        <f t="shared" si="348"/>
        <v>0</v>
      </c>
    </row>
    <row r="554" spans="14:51" x14ac:dyDescent="0.3">
      <c r="N554" s="170">
        <v>36</v>
      </c>
      <c r="O554" s="199">
        <f t="shared" si="314"/>
        <v>2290867.6527677765</v>
      </c>
      <c r="P554" s="189" t="str">
        <f t="shared" si="315"/>
        <v>108.75</v>
      </c>
      <c r="Q554" s="160" t="str">
        <f t="shared" si="316"/>
        <v>1+36531.8348885181i</v>
      </c>
      <c r="R554" s="160">
        <f t="shared" si="324"/>
        <v>36531.834902204784</v>
      </c>
      <c r="S554" s="160">
        <f t="shared" si="325"/>
        <v>1.5707689534093878</v>
      </c>
      <c r="T554" s="160" t="str">
        <f t="shared" si="317"/>
        <v>1+1.35303092179697i</v>
      </c>
      <c r="U554" s="160">
        <f t="shared" si="326"/>
        <v>1.682466247904771</v>
      </c>
      <c r="V554" s="160">
        <f t="shared" si="327"/>
        <v>0.93431981673646658</v>
      </c>
      <c r="W554" s="98" t="str">
        <f t="shared" si="318"/>
        <v>1-10.7474796625008i</v>
      </c>
      <c r="X554" s="160">
        <f t="shared" si="328"/>
        <v>10.79390194025628</v>
      </c>
      <c r="Y554" s="160">
        <f t="shared" si="329"/>
        <v>-1.478018379381369</v>
      </c>
      <c r="Z554" s="98" t="str">
        <f t="shared" si="319"/>
        <v>-105.008324251943+20.7308642202731i</v>
      </c>
      <c r="AA554" s="160">
        <f t="shared" si="330"/>
        <v>107.03511990706883</v>
      </c>
      <c r="AB554" s="160">
        <f t="shared" si="331"/>
        <v>2.9466779816716491</v>
      </c>
      <c r="AC554" s="171" t="str">
        <f t="shared" si="332"/>
        <v>0.000172599174629775+0.000474669140019359i</v>
      </c>
      <c r="AD554" s="190">
        <f t="shared" si="333"/>
        <v>-65.932873834242599</v>
      </c>
      <c r="AE554" s="169">
        <f t="shared" si="334"/>
        <v>70.017723478665431</v>
      </c>
      <c r="AF554" s="98" t="str">
        <f t="shared" si="320"/>
        <v>-0.0000366300366300366</v>
      </c>
      <c r="AG554" s="98" t="str">
        <f t="shared" si="321"/>
        <v>0.99318227238288i</v>
      </c>
      <c r="AH554" s="98">
        <f t="shared" si="335"/>
        <v>0.99318227238288004</v>
      </c>
      <c r="AI554" s="98">
        <f t="shared" si="336"/>
        <v>1.5707963267948966</v>
      </c>
      <c r="AJ554" s="98" t="str">
        <f t="shared" si="322"/>
        <v>1+141.853380638597i</v>
      </c>
      <c r="AK554" s="98">
        <f t="shared" si="337"/>
        <v>141.85690536099639</v>
      </c>
      <c r="AL554" s="98">
        <f t="shared" si="338"/>
        <v>1.5637469111892204</v>
      </c>
      <c r="AM554" s="98" t="str">
        <f t="shared" si="323"/>
        <v>1+9787.88326406316i</v>
      </c>
      <c r="AN554" s="98">
        <f t="shared" si="339"/>
        <v>9787.8833151467297</v>
      </c>
      <c r="AO554" s="98">
        <f t="shared" si="340"/>
        <v>1.5706941596593125</v>
      </c>
      <c r="AP554" s="168" t="str">
        <f t="shared" si="341"/>
        <v>-0.0000176789323568995+0.00254469780545306i</v>
      </c>
      <c r="AQ554" s="98">
        <f t="shared" si="342"/>
        <v>-51.887066083863417</v>
      </c>
      <c r="AR554" s="169">
        <f t="shared" si="343"/>
        <v>90.398048016564999</v>
      </c>
      <c r="AS554" s="168" t="str">
        <f t="shared" si="344"/>
        <v>-1.21094088805669E-06+4.30821097285088E-07i</v>
      </c>
      <c r="AT554" s="190">
        <f t="shared" si="345"/>
        <v>-117.81993991810603</v>
      </c>
      <c r="AU554" s="169">
        <f t="shared" si="346"/>
        <v>160.41577149523042</v>
      </c>
      <c r="AV554" s="225"/>
      <c r="AX554">
        <f t="shared" si="347"/>
        <v>0</v>
      </c>
      <c r="AY554">
        <f t="shared" si="348"/>
        <v>0</v>
      </c>
    </row>
    <row r="555" spans="14:51" x14ac:dyDescent="0.3">
      <c r="N555" s="170">
        <v>37</v>
      </c>
      <c r="O555" s="199">
        <f t="shared" si="314"/>
        <v>2344228.8153199251</v>
      </c>
      <c r="P555" s="189" t="str">
        <f t="shared" si="315"/>
        <v>108.75</v>
      </c>
      <c r="Q555" s="160" t="str">
        <f t="shared" si="316"/>
        <v>1+37382.7706365782i</v>
      </c>
      <c r="R555" s="160">
        <f t="shared" si="324"/>
        <v>37382.770649953338</v>
      </c>
      <c r="S555" s="160">
        <f t="shared" si="325"/>
        <v>1.5707695765037135</v>
      </c>
      <c r="T555" s="160" t="str">
        <f t="shared" si="317"/>
        <v>1+1.38454706061401i</v>
      </c>
      <c r="U555" s="160">
        <f t="shared" si="326"/>
        <v>1.7079140970947266</v>
      </c>
      <c r="V555" s="160">
        <f t="shared" si="327"/>
        <v>0.94528786438386314</v>
      </c>
      <c r="W555" s="98" t="str">
        <f t="shared" si="318"/>
        <v>1-10.997820623317i</v>
      </c>
      <c r="X555" s="160">
        <f t="shared" si="328"/>
        <v>11.043190592517035</v>
      </c>
      <c r="Y555" s="160">
        <f t="shared" si="329"/>
        <v>-1.4801185723399137</v>
      </c>
      <c r="Z555" s="98" t="str">
        <f t="shared" si="319"/>
        <v>-110.004342655246+21.2137480805293i</v>
      </c>
      <c r="AA555" s="160">
        <f t="shared" si="330"/>
        <v>112.03114973362067</v>
      </c>
      <c r="AB555" s="160">
        <f t="shared" si="331"/>
        <v>2.9510866169753438</v>
      </c>
      <c r="AC555" s="171" t="str">
        <f t="shared" si="332"/>
        <v>0.000165310153167361+0.000461013324205732i</v>
      </c>
      <c r="AD555" s="190">
        <f t="shared" si="333"/>
        <v>-66.200408455839806</v>
      </c>
      <c r="AE555" s="169">
        <f t="shared" si="334"/>
        <v>70.273182228682614</v>
      </c>
      <c r="AF555" s="98" t="str">
        <f t="shared" si="320"/>
        <v>-0.0000366300366300366</v>
      </c>
      <c r="AG555" s="98" t="str">
        <f t="shared" si="321"/>
        <v>1.01631645938688i</v>
      </c>
      <c r="AH555" s="98">
        <f t="shared" si="335"/>
        <v>1.0163164593868801</v>
      </c>
      <c r="AI555" s="98">
        <f t="shared" si="336"/>
        <v>1.5707963267948966</v>
      </c>
      <c r="AJ555" s="98" t="str">
        <f t="shared" si="322"/>
        <v>1+145.157570338811i</v>
      </c>
      <c r="AK555" s="98">
        <f t="shared" si="337"/>
        <v>145.16101483065924</v>
      </c>
      <c r="AL555" s="98">
        <f t="shared" si="338"/>
        <v>1.563907370343121</v>
      </c>
      <c r="AM555" s="98" t="str">
        <f t="shared" si="323"/>
        <v>1+10015.8723533779i</v>
      </c>
      <c r="AN555" s="98">
        <f t="shared" si="339"/>
        <v>10015.872403298663</v>
      </c>
      <c r="AO555" s="98">
        <f t="shared" si="340"/>
        <v>1.5706964852672298</v>
      </c>
      <c r="AP555" s="168" t="str">
        <f t="shared" si="341"/>
        <v>-0.0000168832870903191+0.00248677889282558i</v>
      </c>
      <c r="AQ555" s="98">
        <f t="shared" si="342"/>
        <v>-52.087056372579355</v>
      </c>
      <c r="AR555" s="169">
        <f t="shared" si="343"/>
        <v>90.388987631780708</v>
      </c>
      <c r="AS555" s="168" t="str">
        <f t="shared" si="344"/>
        <v>-1.14922918272104E-06+4.03306379361329E-07i</v>
      </c>
      <c r="AT555" s="190">
        <f t="shared" si="345"/>
        <v>-118.28746482841916</v>
      </c>
      <c r="AU555" s="169">
        <f t="shared" si="346"/>
        <v>160.66216986046334</v>
      </c>
      <c r="AV555" s="225"/>
      <c r="AX555">
        <f t="shared" si="347"/>
        <v>0</v>
      </c>
      <c r="AY555">
        <f t="shared" si="348"/>
        <v>0</v>
      </c>
    </row>
    <row r="556" spans="14:51" x14ac:dyDescent="0.3">
      <c r="N556" s="170">
        <v>38</v>
      </c>
      <c r="O556" s="199">
        <f t="shared" si="314"/>
        <v>2398832.9190194933</v>
      </c>
      <c r="P556" s="189" t="str">
        <f t="shared" si="315"/>
        <v>108.75</v>
      </c>
      <c r="Q556" s="160" t="str">
        <f t="shared" si="316"/>
        <v>1+38253.5272244491i</v>
      </c>
      <c r="R556" s="160">
        <f t="shared" si="324"/>
        <v>38253.527237519789</v>
      </c>
      <c r="S556" s="160">
        <f t="shared" si="325"/>
        <v>1.5707701854146807</v>
      </c>
      <c r="T556" s="160" t="str">
        <f t="shared" si="317"/>
        <v>1+1.41679730460923i</v>
      </c>
      <c r="U556" s="160">
        <f t="shared" si="326"/>
        <v>1.7341610658609479</v>
      </c>
      <c r="V556" s="160">
        <f t="shared" si="327"/>
        <v>0.95617681761167383</v>
      </c>
      <c r="W556" s="98" t="str">
        <f t="shared" si="318"/>
        <v>1-11.253992774201i</v>
      </c>
      <c r="X556" s="160">
        <f t="shared" si="328"/>
        <v>11.29833409674932</v>
      </c>
      <c r="Y556" s="160">
        <f t="shared" si="329"/>
        <v>-1.482171734442129</v>
      </c>
      <c r="Z556" s="98" t="str">
        <f t="shared" si="319"/>
        <v>-115.235816151931+21.7078797508148i</v>
      </c>
      <c r="AA556" s="160">
        <f t="shared" si="330"/>
        <v>117.26263414863868</v>
      </c>
      <c r="AB556" s="160">
        <f t="shared" si="331"/>
        <v>2.9553967650067055</v>
      </c>
      <c r="AC556" s="171" t="str">
        <f t="shared" si="332"/>
        <v>0.000158307711868349+0.000447853060249262i</v>
      </c>
      <c r="AD556" s="190">
        <f t="shared" si="333"/>
        <v>-66.465960440869452</v>
      </c>
      <c r="AE556" s="169">
        <f t="shared" si="334"/>
        <v>70.532447589536119</v>
      </c>
      <c r="AF556" s="98" t="str">
        <f t="shared" si="320"/>
        <v>-0.0000366300366300366</v>
      </c>
      <c r="AG556" s="98" t="str">
        <f t="shared" si="321"/>
        <v>1.03998951083018i</v>
      </c>
      <c r="AH556" s="98">
        <f t="shared" si="335"/>
        <v>1.03998951083018</v>
      </c>
      <c r="AI556" s="98">
        <f t="shared" si="336"/>
        <v>1.5707963267948966</v>
      </c>
      <c r="AJ556" s="98" t="str">
        <f t="shared" si="322"/>
        <v>1+148.538724504205i</v>
      </c>
      <c r="AK556" s="98">
        <f t="shared" si="337"/>
        <v>148.54209059164378</v>
      </c>
      <c r="AL556" s="98">
        <f t="shared" si="338"/>
        <v>1.564064177343544</v>
      </c>
      <c r="AM556" s="98" t="str">
        <f t="shared" si="323"/>
        <v>1+10249.1719907901i</v>
      </c>
      <c r="AN556" s="98">
        <f t="shared" si="339"/>
        <v>10249.172039574529</v>
      </c>
      <c r="AO556" s="98">
        <f t="shared" si="340"/>
        <v>1.5706987579378489</v>
      </c>
      <c r="AP556" s="168" t="str">
        <f t="shared" si="341"/>
        <v>-0.0000161234484372498+0.00243017800978109i</v>
      </c>
      <c r="AQ556" s="98">
        <f t="shared" si="342"/>
        <v>-52.287047098354726</v>
      </c>
      <c r="AR556" s="169">
        <f t="shared" si="343"/>
        <v>90.380133466893071</v>
      </c>
      <c r="AS556" s="168" t="str">
        <f t="shared" si="344"/>
        <v>-1.09091512486045E-06+3.77494984436829E-07i</v>
      </c>
      <c r="AT556" s="190">
        <f t="shared" si="345"/>
        <v>-118.75300753922417</v>
      </c>
      <c r="AU556" s="169">
        <f t="shared" si="346"/>
        <v>160.91258105642919</v>
      </c>
      <c r="AV556" s="225"/>
      <c r="AX556">
        <f t="shared" si="347"/>
        <v>0</v>
      </c>
      <c r="AY556">
        <f t="shared" si="348"/>
        <v>0</v>
      </c>
    </row>
    <row r="557" spans="14:51" x14ac:dyDescent="0.3">
      <c r="N557" s="170">
        <v>39</v>
      </c>
      <c r="O557" s="199">
        <f t="shared" si="314"/>
        <v>2454708.915685033</v>
      </c>
      <c r="P557" s="189" t="str">
        <f t="shared" si="315"/>
        <v>108.75</v>
      </c>
      <c r="Q557" s="160" t="str">
        <f t="shared" si="316"/>
        <v>1+39144.5663387997i</v>
      </c>
      <c r="R557" s="160">
        <f t="shared" si="324"/>
        <v>39144.566351572859</v>
      </c>
      <c r="S557" s="160">
        <f t="shared" si="325"/>
        <v>1.5707707804651423</v>
      </c>
      <c r="T557" s="160" t="str">
        <f t="shared" si="317"/>
        <v>1+1.44979875328888i</v>
      </c>
      <c r="U557" s="160">
        <f t="shared" si="326"/>
        <v>1.7612258302210966</v>
      </c>
      <c r="V557" s="160">
        <f t="shared" si="327"/>
        <v>0.96698212131333028</v>
      </c>
      <c r="W557" s="98" t="str">
        <f t="shared" si="318"/>
        <v>1-11.5161319410181i</v>
      </c>
      <c r="X557" s="160">
        <f t="shared" si="328"/>
        <v>11.559467759500752</v>
      </c>
      <c r="Y557" s="160">
        <f t="shared" si="329"/>
        <v>-1.4841788850229989</v>
      </c>
      <c r="Z557" s="98" t="str">
        <f t="shared" si="319"/>
        <v>-120.713841398683+22.2135212262821i</v>
      </c>
      <c r="AA557" s="160">
        <f t="shared" si="330"/>
        <v>122.74066983073246</v>
      </c>
      <c r="AB557" s="160">
        <f t="shared" si="331"/>
        <v>2.9596105446398351</v>
      </c>
      <c r="AC557" s="171" t="str">
        <f t="shared" si="332"/>
        <v>0.000151582514808567+0.000435165337093372i</v>
      </c>
      <c r="AD557" s="190">
        <f t="shared" si="333"/>
        <v>-66.729556508217286</v>
      </c>
      <c r="AE557" s="169">
        <f t="shared" si="334"/>
        <v>70.795078748210571</v>
      </c>
      <c r="AF557" s="98" t="str">
        <f t="shared" si="320"/>
        <v>-0.0000366300366300366</v>
      </c>
      <c r="AG557" s="98" t="str">
        <f t="shared" si="321"/>
        <v>1.06421397847801i</v>
      </c>
      <c r="AH557" s="98">
        <f t="shared" si="335"/>
        <v>1.06421397847801</v>
      </c>
      <c r="AI557" s="98">
        <f t="shared" si="336"/>
        <v>1.5707963267948966</v>
      </c>
      <c r="AJ557" s="98" t="str">
        <f t="shared" si="322"/>
        <v>1+151.998635867475i</v>
      </c>
      <c r="AK557" s="98">
        <f t="shared" si="337"/>
        <v>152.00192533508667</v>
      </c>
      <c r="AL557" s="98">
        <f t="shared" si="338"/>
        <v>1.5642174153007735</v>
      </c>
      <c r="AM557" s="98" t="str">
        <f t="shared" si="323"/>
        <v>1+10487.9058748557i</v>
      </c>
      <c r="AN557" s="98">
        <f t="shared" si="339"/>
        <v>10487.905922529659</v>
      </c>
      <c r="AO557" s="98">
        <f t="shared" si="340"/>
        <v>1.5707009788761699</v>
      </c>
      <c r="AP557" s="168" t="str">
        <f t="shared" si="341"/>
        <v>-0.0000153978051269279+0.00237486517871839i</v>
      </c>
      <c r="AQ557" s="98">
        <f t="shared" si="342"/>
        <v>-52.487038241520452</v>
      </c>
      <c r="AR557" s="169">
        <f t="shared" si="343"/>
        <v>90.371480829074954</v>
      </c>
      <c r="AS557" s="168" t="str">
        <f t="shared" si="344"/>
        <v>-1.03579304407197E-06+3.53287445062873E-07i</v>
      </c>
      <c r="AT557" s="190">
        <f t="shared" si="345"/>
        <v>-119.21659474973774</v>
      </c>
      <c r="AU557" s="169">
        <f t="shared" si="346"/>
        <v>161.16655957728548</v>
      </c>
      <c r="AV557" s="225"/>
      <c r="AX557">
        <f t="shared" si="347"/>
        <v>0</v>
      </c>
      <c r="AY557">
        <f t="shared" si="348"/>
        <v>0</v>
      </c>
    </row>
    <row r="558" spans="14:51" x14ac:dyDescent="0.3">
      <c r="N558" s="170">
        <v>40</v>
      </c>
      <c r="O558" s="199">
        <f t="shared" si="314"/>
        <v>2511886.431509587</v>
      </c>
      <c r="P558" s="189" t="str">
        <f t="shared" si="315"/>
        <v>108.75</v>
      </c>
      <c r="Q558" s="160" t="str">
        <f t="shared" si="316"/>
        <v>1+40056.360420363i</v>
      </c>
      <c r="R558" s="160">
        <f t="shared" si="324"/>
        <v>40056.360432845409</v>
      </c>
      <c r="S558" s="160">
        <f t="shared" si="325"/>
        <v>1.5707713619706016</v>
      </c>
      <c r="T558" s="160" t="str">
        <f t="shared" si="317"/>
        <v>1+1.48356890445789i</v>
      </c>
      <c r="U558" s="160">
        <f t="shared" si="326"/>
        <v>1.7891273555212284</v>
      </c>
      <c r="V558" s="160">
        <f t="shared" si="327"/>
        <v>0.9776994121487208</v>
      </c>
      <c r="W558" s="98" t="str">
        <f t="shared" si="318"/>
        <v>1-11.7843771134244i</v>
      </c>
      <c r="X558" s="160">
        <f t="shared" si="328"/>
        <v>11.826730061661202</v>
      </c>
      <c r="Y558" s="160">
        <f t="shared" si="329"/>
        <v>-1.486141023575557</v>
      </c>
      <c r="Z558" s="98" t="str">
        <f t="shared" si="319"/>
        <v>-126.450038021501+22.7309406047343i</v>
      </c>
      <c r="AA558" s="160">
        <f t="shared" si="330"/>
        <v>128.47687642690806</v>
      </c>
      <c r="AB558" s="160">
        <f t="shared" si="331"/>
        <v>2.9637300345588806</v>
      </c>
      <c r="AC558" s="171" t="str">
        <f t="shared" si="332"/>
        <v>0.000145125343908157+0.000422928386953363i</v>
      </c>
      <c r="AD558" s="190">
        <f t="shared" si="333"/>
        <v>-66.991224990097265</v>
      </c>
      <c r="AE558" s="169">
        <f t="shared" si="334"/>
        <v>71.06064931909458</v>
      </c>
      <c r="AF558" s="98" t="str">
        <f t="shared" si="320"/>
        <v>-0.0000366300366300366</v>
      </c>
      <c r="AG558" s="98" t="str">
        <f t="shared" si="321"/>
        <v>1.08900270646377i</v>
      </c>
      <c r="AH558" s="98">
        <f t="shared" si="335"/>
        <v>1.08900270646377</v>
      </c>
      <c r="AI558" s="98">
        <f t="shared" si="336"/>
        <v>1.5707963267948966</v>
      </c>
      <c r="AJ558" s="98" t="str">
        <f t="shared" si="322"/>
        <v>1+155.539138919421i</v>
      </c>
      <c r="AK558" s="98">
        <f t="shared" si="337"/>
        <v>155.54235351117376</v>
      </c>
      <c r="AL558" s="98">
        <f t="shared" si="338"/>
        <v>1.5643671654348001</v>
      </c>
      <c r="AM558" s="98" t="str">
        <f t="shared" si="323"/>
        <v>1+10732.20058544i</v>
      </c>
      <c r="AN558" s="98">
        <f t="shared" si="339"/>
        <v>10732.200632028766</v>
      </c>
      <c r="AO558" s="98">
        <f t="shared" si="340"/>
        <v>1.5707031492597634</v>
      </c>
      <c r="AP558" s="168" t="str">
        <f t="shared" si="341"/>
        <v>-0.0000147048183820027+0.00232081110278047i</v>
      </c>
      <c r="AQ558" s="98">
        <f t="shared" si="342"/>
        <v>-52.687029783292544</v>
      </c>
      <c r="AR558" s="169">
        <f t="shared" si="343"/>
        <v>90.363025132233545</v>
      </c>
      <c r="AS558" s="168" t="str">
        <f t="shared" si="344"/>
        <v>-9.83670937947195E-07+3.30589424318142E-07i</v>
      </c>
      <c r="AT558" s="190">
        <f t="shared" si="345"/>
        <v>-119.67825477338982</v>
      </c>
      <c r="AU558" s="169">
        <f t="shared" si="346"/>
        <v>161.42367445132814</v>
      </c>
      <c r="AV558" s="225"/>
      <c r="AX558">
        <f t="shared" si="347"/>
        <v>0</v>
      </c>
      <c r="AY558">
        <f t="shared" si="348"/>
        <v>0</v>
      </c>
    </row>
    <row r="559" spans="14:51" x14ac:dyDescent="0.3">
      <c r="N559" s="170">
        <v>41</v>
      </c>
      <c r="O559" s="199">
        <f t="shared" si="314"/>
        <v>2570395.782768866</v>
      </c>
      <c r="P559" s="189" t="str">
        <f t="shared" si="315"/>
        <v>108.75</v>
      </c>
      <c r="Q559" s="160" t="str">
        <f t="shared" si="316"/>
        <v>1+40989.3929144295i</v>
      </c>
      <c r="R559" s="160">
        <f t="shared" si="324"/>
        <v>40989.392926627777</v>
      </c>
      <c r="S559" s="160">
        <f t="shared" si="325"/>
        <v>1.5707719302393808</v>
      </c>
      <c r="T559" s="160" t="str">
        <f t="shared" si="317"/>
        <v>1+1.5181256634974i</v>
      </c>
      <c r="U559" s="160">
        <f t="shared" si="326"/>
        <v>1.8178849056443098</v>
      </c>
      <c r="V559" s="160">
        <f t="shared" si="327"/>
        <v>0.98832452463497988</v>
      </c>
      <c r="W559" s="98" t="str">
        <f t="shared" si="318"/>
        <v>1-12.0588705185609i</v>
      </c>
      <c r="X559" s="160">
        <f t="shared" si="328"/>
        <v>12.100262731999551</v>
      </c>
      <c r="Y559" s="160">
        <f t="shared" si="329"/>
        <v>-1.4880591299844057</v>
      </c>
      <c r="Z559" s="98" t="str">
        <f t="shared" si="319"/>
        <v>-132.456573262486+23.2604122287746i</v>
      </c>
      <c r="AA559" s="160">
        <f t="shared" si="330"/>
        <v>134.48342119939113</v>
      </c>
      <c r="AB559" s="160">
        <f t="shared" si="331"/>
        <v>2.9677572736539362</v>
      </c>
      <c r="AC559" s="171" t="str">
        <f t="shared" si="332"/>
        <v>0.000138927118828263+0.000411121615686193i</v>
      </c>
      <c r="AD559" s="190">
        <f t="shared" si="333"/>
        <v>-67.250995712637604</v>
      </c>
      <c r="AE559" s="169">
        <f t="shared" si="334"/>
        <v>71.328747656885469</v>
      </c>
      <c r="AF559" s="98" t="str">
        <f t="shared" si="320"/>
        <v>-0.0000366300366300366</v>
      </c>
      <c r="AG559" s="98" t="str">
        <f t="shared" si="321"/>
        <v>1.11436883809915i</v>
      </c>
      <c r="AH559" s="98">
        <f t="shared" si="335"/>
        <v>1.1143688380991501</v>
      </c>
      <c r="AI559" s="98">
        <f t="shared" si="336"/>
        <v>1.5707963267948966</v>
      </c>
      <c r="AJ559" s="98" t="str">
        <f t="shared" si="322"/>
        <v>1+159.162110881626i</v>
      </c>
      <c r="AK559" s="98">
        <f t="shared" si="337"/>
        <v>159.16525230179798</v>
      </c>
      <c r="AL559" s="98">
        <f t="shared" si="338"/>
        <v>1.5645135071182459</v>
      </c>
      <c r="AM559" s="98" t="str">
        <f t="shared" si="323"/>
        <v>1+10982.1856508322i</v>
      </c>
      <c r="AN559" s="98">
        <f t="shared" si="339"/>
        <v>10982.185696360477</v>
      </c>
      <c r="AO559" s="98">
        <f t="shared" si="340"/>
        <v>1.5707052702393958</v>
      </c>
      <c r="AP559" s="168" t="str">
        <f t="shared" si="341"/>
        <v>-0.0000140430186580571+0.00226798715046763i</v>
      </c>
      <c r="AQ559" s="98">
        <f t="shared" si="342"/>
        <v>-52.887021705732153</v>
      </c>
      <c r="AR559" s="169">
        <f t="shared" si="343"/>
        <v>90.35476189458663</v>
      </c>
      <c r="AS559" s="168" t="str">
        <f t="shared" si="344"/>
        <v>-9.34369497777592E-07+3.09311531834178E-07i</v>
      </c>
      <c r="AT559" s="190">
        <f t="shared" si="345"/>
        <v>-120.13801741836977</v>
      </c>
      <c r="AU559" s="169">
        <f t="shared" si="346"/>
        <v>161.6835095514721</v>
      </c>
      <c r="AV559" s="225"/>
      <c r="AX559">
        <f t="shared" si="347"/>
        <v>0</v>
      </c>
      <c r="AY559">
        <f t="shared" si="348"/>
        <v>0</v>
      </c>
    </row>
    <row r="560" spans="14:51" ht="15.6" thickBot="1" x14ac:dyDescent="0.35">
      <c r="N560" s="170">
        <v>42</v>
      </c>
      <c r="O560" s="199">
        <f t="shared" si="314"/>
        <v>2630267.9918953842</v>
      </c>
      <c r="P560" s="189" t="str">
        <f t="shared" si="315"/>
        <v>108.75</v>
      </c>
      <c r="Q560" s="160" t="str">
        <f t="shared" si="316"/>
        <v>1+41944.1585271781i</v>
      </c>
      <c r="R560" s="160">
        <f t="shared" si="324"/>
        <v>41944.158539098717</v>
      </c>
      <c r="S560" s="160">
        <f t="shared" si="325"/>
        <v>1.5707724855727832</v>
      </c>
      <c r="T560" s="160" t="str">
        <f t="shared" si="317"/>
        <v>1+1.55348735285845i</v>
      </c>
      <c r="U560" s="160">
        <f t="shared" si="326"/>
        <v>1.8475180528187416</v>
      </c>
      <c r="V560" s="160">
        <f t="shared" si="327"/>
        <v>0.99885349624470465</v>
      </c>
      <c r="W560" s="98" t="str">
        <f t="shared" si="318"/>
        <v>1-12.3397576964643i</v>
      </c>
      <c r="X560" s="160">
        <f t="shared" si="328"/>
        <v>12.380210822415341</v>
      </c>
      <c r="Y560" s="160">
        <f t="shared" si="329"/>
        <v>-1.4899341647678215</v>
      </c>
      <c r="Z560" s="98" t="str">
        <f t="shared" si="319"/>
        <v>-138.746187788195+23.8022168312666i</v>
      </c>
      <c r="AA560" s="160">
        <f t="shared" si="330"/>
        <v>140.77304483401534</v>
      </c>
      <c r="AB560" s="160">
        <f t="shared" si="331"/>
        <v>2.9716942614406721</v>
      </c>
      <c r="AC560" s="196" t="str">
        <f t="shared" si="332"/>
        <v>0.000132978913930756+0.000399725536807436i</v>
      </c>
      <c r="AD560" s="197">
        <f t="shared" si="333"/>
        <v>-67.508899875167828</v>
      </c>
      <c r="AE560" s="198">
        <f t="shared" si="334"/>
        <v>71.598977110771216</v>
      </c>
      <c r="AF560" s="98" t="str">
        <f t="shared" si="320"/>
        <v>-0.0000366300366300366</v>
      </c>
      <c r="AG560" s="98" t="str">
        <f t="shared" si="321"/>
        <v>1.14032582284291i</v>
      </c>
      <c r="AH560" s="98">
        <f t="shared" si="335"/>
        <v>1.1403258228429101</v>
      </c>
      <c r="AI560" s="98">
        <f t="shared" si="336"/>
        <v>1.5707963267948966</v>
      </c>
      <c r="AJ560" s="98" t="str">
        <f t="shared" si="322"/>
        <v>1+162.86947270178i</v>
      </c>
      <c r="AK560" s="98">
        <f t="shared" si="337"/>
        <v>162.87254261586224</v>
      </c>
      <c r="AL560" s="98">
        <f t="shared" si="338"/>
        <v>1.5646565179183221</v>
      </c>
      <c r="AM560" s="98" t="str">
        <f t="shared" si="323"/>
        <v>1+11237.9936164228i</v>
      </c>
      <c r="AN560" s="98">
        <f t="shared" si="339"/>
        <v>11237.993660914728</v>
      </c>
      <c r="AO560" s="98">
        <f t="shared" si="340"/>
        <v>1.5707073429396381</v>
      </c>
      <c r="AP560" s="191" t="str">
        <f t="shared" si="341"/>
        <v>-0.000013411002529676+0.00221636534059347i</v>
      </c>
      <c r="AQ560" s="195">
        <f t="shared" si="342"/>
        <v>-53.087013991707892</v>
      </c>
      <c r="AR560" s="198">
        <f t="shared" si="343"/>
        <v>90.346686736293549</v>
      </c>
      <c r="AS560" s="191" t="str">
        <f t="shared" si="344"/>
        <v>-8.8772120608124E-07+2.89369135680589E-07i</v>
      </c>
      <c r="AT560" s="197">
        <f t="shared" si="345"/>
        <v>-120.5959138668757</v>
      </c>
      <c r="AU560" s="198">
        <f t="shared" si="346"/>
        <v>161.94566384706479</v>
      </c>
      <c r="AV560" s="225"/>
    </row>
    <row r="561" spans="14:30" x14ac:dyDescent="0.3">
      <c r="N561" s="170"/>
      <c r="P561" s="189"/>
      <c r="Q561" s="160"/>
      <c r="R561" s="160"/>
      <c r="S561" s="160"/>
      <c r="T561" s="160"/>
      <c r="U561" s="160"/>
      <c r="V561" s="160"/>
      <c r="X561" s="160"/>
      <c r="Y561" s="160"/>
      <c r="AA561" s="160"/>
      <c r="AB561" s="160"/>
      <c r="AC561" s="160"/>
      <c r="AD561" s="190"/>
    </row>
    <row r="562" spans="14:30" x14ac:dyDescent="0.3">
      <c r="N562" s="170"/>
      <c r="P562" s="189"/>
      <c r="Q562" s="160"/>
      <c r="R562" s="160"/>
      <c r="S562" s="160"/>
      <c r="T562" s="160"/>
      <c r="U562" s="160"/>
      <c r="V562" s="160"/>
      <c r="X562" s="160"/>
      <c r="Y562" s="160"/>
      <c r="AA562" s="160"/>
      <c r="AB562" s="160"/>
      <c r="AC562" s="160"/>
      <c r="AD562" s="190"/>
    </row>
    <row r="563" spans="14:30" x14ac:dyDescent="0.3">
      <c r="N563" s="170"/>
      <c r="P563" s="189"/>
      <c r="Q563" s="160"/>
      <c r="R563" s="160"/>
      <c r="S563" s="160"/>
      <c r="T563" s="160"/>
      <c r="U563" s="160"/>
      <c r="V563" s="160"/>
      <c r="X563" s="160"/>
      <c r="Y563" s="160"/>
      <c r="AA563" s="160"/>
      <c r="AB563" s="160"/>
      <c r="AC563" s="160"/>
      <c r="AD563" s="190"/>
    </row>
    <row r="564" spans="14:30" x14ac:dyDescent="0.3">
      <c r="N564" s="170"/>
      <c r="P564" s="189"/>
      <c r="Q564" s="160"/>
      <c r="R564" s="160"/>
      <c r="S564" s="160"/>
      <c r="T564" s="160"/>
      <c r="U564" s="160"/>
      <c r="V564" s="160"/>
      <c r="X564" s="160"/>
      <c r="Y564" s="160"/>
      <c r="AA564" s="160"/>
      <c r="AB564" s="160"/>
      <c r="AC564" s="160"/>
      <c r="AD564" s="190"/>
    </row>
    <row r="565" spans="14:30" x14ac:dyDescent="0.3">
      <c r="N565" s="170"/>
      <c r="P565" s="189"/>
      <c r="Q565" s="160"/>
      <c r="R565" s="160"/>
      <c r="S565" s="160"/>
      <c r="T565" s="160"/>
      <c r="U565" s="160"/>
      <c r="V565" s="160"/>
      <c r="X565" s="160"/>
      <c r="Y565" s="160"/>
      <c r="AA565" s="160"/>
      <c r="AB565" s="160"/>
      <c r="AC565" s="160"/>
      <c r="AD565" s="190"/>
    </row>
    <row r="566" spans="14:30" x14ac:dyDescent="0.3">
      <c r="N566" s="170"/>
      <c r="P566" s="189"/>
      <c r="Q566" s="160"/>
      <c r="R566" s="160"/>
      <c r="S566" s="160"/>
      <c r="T566" s="160"/>
      <c r="U566" s="160"/>
      <c r="V566" s="160"/>
      <c r="X566" s="160"/>
      <c r="Y566" s="160"/>
      <c r="AA566" s="160"/>
      <c r="AB566" s="160"/>
      <c r="AC566" s="160"/>
      <c r="AD566" s="190"/>
    </row>
    <row r="567" spans="14:30" x14ac:dyDescent="0.3">
      <c r="N567" s="170"/>
      <c r="P567" s="189"/>
      <c r="Q567" s="160"/>
      <c r="R567" s="160"/>
      <c r="S567" s="160"/>
      <c r="T567" s="160"/>
      <c r="U567" s="160"/>
      <c r="V567" s="160"/>
      <c r="X567" s="160"/>
      <c r="Y567" s="160"/>
      <c r="AA567" s="160"/>
      <c r="AB567" s="160"/>
      <c r="AC567" s="160"/>
      <c r="AD567" s="190"/>
    </row>
    <row r="568" spans="14:30" x14ac:dyDescent="0.3">
      <c r="N568" s="170"/>
      <c r="P568" s="189"/>
      <c r="Q568" s="160"/>
      <c r="R568" s="160"/>
      <c r="S568" s="160"/>
      <c r="T568" s="160"/>
      <c r="U568" s="160"/>
      <c r="V568" s="160"/>
      <c r="X568" s="160"/>
      <c r="Y568" s="160"/>
      <c r="AA568" s="160"/>
      <c r="AB568" s="160"/>
      <c r="AC568" s="160"/>
      <c r="AD568" s="190"/>
    </row>
    <row r="569" spans="14:30" x14ac:dyDescent="0.3">
      <c r="N569" s="170"/>
      <c r="P569" s="189"/>
      <c r="Q569" s="160"/>
      <c r="R569" s="160"/>
      <c r="S569" s="160"/>
      <c r="T569" s="160"/>
      <c r="U569" s="160"/>
      <c r="V569" s="160"/>
      <c r="X569" s="160"/>
      <c r="Y569" s="160"/>
      <c r="AA569" s="160"/>
      <c r="AB569" s="160"/>
      <c r="AC569" s="160"/>
      <c r="AD569" s="190"/>
    </row>
    <row r="570" spans="14:30" x14ac:dyDescent="0.3">
      <c r="N570" s="170"/>
      <c r="P570" s="189"/>
      <c r="Q570" s="160"/>
      <c r="R570" s="160"/>
      <c r="S570" s="160"/>
      <c r="T570" s="160"/>
      <c r="U570" s="160"/>
      <c r="V570" s="160"/>
      <c r="X570" s="160"/>
      <c r="Y570" s="160"/>
      <c r="AA570" s="160"/>
      <c r="AB570" s="160"/>
      <c r="AC570" s="160"/>
      <c r="AD570" s="190"/>
    </row>
    <row r="571" spans="14:30" x14ac:dyDescent="0.3">
      <c r="N571" s="170"/>
      <c r="P571" s="189"/>
      <c r="Q571" s="160"/>
      <c r="R571" s="160"/>
      <c r="S571" s="160"/>
      <c r="T571" s="160"/>
      <c r="U571" s="160"/>
      <c r="V571" s="160"/>
      <c r="X571" s="160"/>
      <c r="Y571" s="160"/>
      <c r="AA571" s="160"/>
      <c r="AB571" s="160"/>
      <c r="AC571" s="160"/>
      <c r="AD571" s="190"/>
    </row>
    <row r="572" spans="14:30" x14ac:dyDescent="0.3">
      <c r="N572" s="170"/>
      <c r="P572" s="189"/>
      <c r="Q572" s="160"/>
      <c r="R572" s="160"/>
      <c r="S572" s="160"/>
      <c r="T572" s="160"/>
      <c r="U572" s="160"/>
      <c r="V572" s="160"/>
      <c r="X572" s="160"/>
      <c r="Y572" s="160"/>
      <c r="AA572" s="160"/>
      <c r="AB572" s="160"/>
      <c r="AC572" s="160"/>
      <c r="AD572" s="190"/>
    </row>
    <row r="573" spans="14:30" x14ac:dyDescent="0.3">
      <c r="N573" s="170"/>
      <c r="P573" s="189"/>
      <c r="Q573" s="160"/>
      <c r="R573" s="160"/>
      <c r="S573" s="160"/>
      <c r="T573" s="160"/>
      <c r="U573" s="160"/>
      <c r="V573" s="160"/>
      <c r="X573" s="160"/>
      <c r="Y573" s="160"/>
      <c r="AA573" s="160"/>
      <c r="AB573" s="160"/>
      <c r="AC573" s="160"/>
      <c r="AD573" s="190"/>
    </row>
    <row r="574" spans="14:30" x14ac:dyDescent="0.3">
      <c r="N574" s="170"/>
      <c r="P574" s="189"/>
      <c r="Q574" s="160"/>
      <c r="R574" s="160"/>
      <c r="S574" s="160"/>
      <c r="T574" s="160"/>
      <c r="U574" s="160"/>
      <c r="V574" s="160"/>
      <c r="X574" s="160"/>
      <c r="Y574" s="160"/>
      <c r="AA574" s="160"/>
      <c r="AB574" s="160"/>
      <c r="AC574" s="160"/>
      <c r="AD574" s="190"/>
    </row>
    <row r="575" spans="14:30" x14ac:dyDescent="0.3">
      <c r="N575" s="170"/>
      <c r="P575" s="189"/>
      <c r="Q575" s="160"/>
      <c r="R575" s="160"/>
      <c r="S575" s="160"/>
      <c r="T575" s="160"/>
      <c r="U575" s="160"/>
      <c r="V575" s="160"/>
      <c r="X575" s="160"/>
      <c r="Y575" s="160"/>
      <c r="AA575" s="160"/>
      <c r="AB575" s="160"/>
      <c r="AC575" s="160"/>
      <c r="AD575" s="190"/>
    </row>
    <row r="576" spans="14:30" x14ac:dyDescent="0.3">
      <c r="N576" s="170"/>
      <c r="P576" s="189"/>
      <c r="Q576" s="160"/>
      <c r="R576" s="160"/>
      <c r="S576" s="160"/>
      <c r="T576" s="160"/>
      <c r="U576" s="160"/>
      <c r="V576" s="160"/>
      <c r="X576" s="160"/>
      <c r="Y576" s="160"/>
      <c r="AA576" s="160"/>
      <c r="AB576" s="160"/>
      <c r="AC576" s="160"/>
      <c r="AD576" s="190"/>
    </row>
    <row r="577" spans="14:30" x14ac:dyDescent="0.3">
      <c r="N577" s="170"/>
      <c r="P577" s="189"/>
      <c r="Q577" s="160"/>
      <c r="R577" s="160"/>
      <c r="S577" s="160"/>
      <c r="T577" s="160"/>
      <c r="U577" s="160"/>
      <c r="V577" s="160"/>
      <c r="X577" s="160"/>
      <c r="Y577" s="160"/>
      <c r="AA577" s="160"/>
      <c r="AB577" s="160"/>
      <c r="AC577" s="160"/>
      <c r="AD577" s="190"/>
    </row>
    <row r="578" spans="14:30" x14ac:dyDescent="0.3">
      <c r="N578" s="170"/>
      <c r="P578" s="189"/>
      <c r="Q578" s="160"/>
      <c r="R578" s="160"/>
      <c r="S578" s="160"/>
      <c r="T578" s="160"/>
      <c r="U578" s="160"/>
      <c r="V578" s="160"/>
      <c r="X578" s="160"/>
      <c r="Y578" s="160"/>
      <c r="AA578" s="160"/>
      <c r="AB578" s="160"/>
      <c r="AC578" s="160"/>
      <c r="AD578" s="190"/>
    </row>
    <row r="579" spans="14:30" x14ac:dyDescent="0.3">
      <c r="N579" s="170"/>
      <c r="P579" s="189"/>
      <c r="Q579" s="160"/>
      <c r="R579" s="160"/>
      <c r="S579" s="160"/>
      <c r="T579" s="160"/>
      <c r="U579" s="160"/>
      <c r="V579" s="160"/>
      <c r="X579" s="160"/>
      <c r="Y579" s="160"/>
      <c r="AA579" s="160"/>
      <c r="AB579" s="160"/>
      <c r="AC579" s="160"/>
      <c r="AD579" s="190"/>
    </row>
    <row r="580" spans="14:30" x14ac:dyDescent="0.3">
      <c r="N580" s="170"/>
      <c r="P580" s="189"/>
      <c r="Q580" s="160"/>
      <c r="R580" s="160"/>
      <c r="S580" s="160"/>
      <c r="T580" s="160"/>
      <c r="U580" s="160"/>
      <c r="V580" s="160"/>
      <c r="X580" s="160"/>
      <c r="Y580" s="160"/>
      <c r="AA580" s="160"/>
      <c r="AB580" s="160"/>
      <c r="AC580" s="160"/>
      <c r="AD580" s="190"/>
    </row>
    <row r="581" spans="14:30" x14ac:dyDescent="0.3">
      <c r="N581" s="170"/>
      <c r="P581" s="189"/>
      <c r="Q581" s="160"/>
      <c r="R581" s="160"/>
      <c r="S581" s="160"/>
      <c r="T581" s="160"/>
      <c r="U581" s="160"/>
      <c r="V581" s="160"/>
      <c r="X581" s="160"/>
      <c r="Y581" s="160"/>
      <c r="AA581" s="160"/>
      <c r="AB581" s="160"/>
      <c r="AC581" s="160"/>
      <c r="AD581" s="190"/>
    </row>
    <row r="582" spans="14:30" x14ac:dyDescent="0.3">
      <c r="N582" s="170"/>
      <c r="P582" s="189"/>
      <c r="Q582" s="160"/>
      <c r="R582" s="160"/>
      <c r="S582" s="160"/>
      <c r="T582" s="160"/>
      <c r="U582" s="160"/>
      <c r="V582" s="160"/>
      <c r="X582" s="160"/>
      <c r="Y582" s="160"/>
      <c r="AA582" s="160"/>
      <c r="AB582" s="160"/>
      <c r="AC582" s="160"/>
      <c r="AD582" s="190"/>
    </row>
    <row r="583" spans="14:30" x14ac:dyDescent="0.3">
      <c r="N583" s="170"/>
      <c r="P583" s="189"/>
      <c r="Q583" s="160"/>
      <c r="R583" s="160"/>
      <c r="S583" s="160"/>
      <c r="T583" s="160"/>
      <c r="U583" s="160"/>
      <c r="V583" s="160"/>
      <c r="X583" s="160"/>
      <c r="Y583" s="160"/>
      <c r="AA583" s="160"/>
      <c r="AB583" s="160"/>
      <c r="AC583" s="160"/>
      <c r="AD583" s="190"/>
    </row>
    <row r="584" spans="14:30" x14ac:dyDescent="0.3">
      <c r="N584" s="170"/>
      <c r="P584" s="189"/>
      <c r="Q584" s="160"/>
      <c r="R584" s="160"/>
      <c r="S584" s="160"/>
      <c r="T584" s="160"/>
      <c r="U584" s="160"/>
      <c r="V584" s="160"/>
      <c r="X584" s="160"/>
      <c r="Y584" s="160"/>
      <c r="AA584" s="160"/>
      <c r="AB584" s="160"/>
      <c r="AC584" s="160"/>
      <c r="AD584" s="190"/>
    </row>
    <row r="585" spans="14:30" x14ac:dyDescent="0.3">
      <c r="N585" s="170"/>
      <c r="P585" s="189"/>
      <c r="Q585" s="160"/>
      <c r="R585" s="160"/>
      <c r="S585" s="160"/>
      <c r="T585" s="160"/>
      <c r="U585" s="160"/>
      <c r="V585" s="160"/>
      <c r="X585" s="160"/>
      <c r="Y585" s="160"/>
      <c r="AA585" s="160"/>
      <c r="AB585" s="160"/>
      <c r="AC585" s="160"/>
      <c r="AD585" s="190"/>
    </row>
    <row r="586" spans="14:30" x14ac:dyDescent="0.3">
      <c r="N586" s="170"/>
      <c r="P586" s="189"/>
      <c r="Q586" s="160"/>
      <c r="R586" s="160"/>
      <c r="S586" s="160"/>
      <c r="T586" s="160"/>
      <c r="U586" s="160"/>
      <c r="V586" s="160"/>
      <c r="X586" s="160"/>
      <c r="Y586" s="160"/>
      <c r="AA586" s="160"/>
      <c r="AB586" s="160"/>
      <c r="AC586" s="160"/>
      <c r="AD586" s="190"/>
    </row>
    <row r="587" spans="14:30" x14ac:dyDescent="0.3">
      <c r="N587" s="170"/>
      <c r="P587" s="189"/>
      <c r="Q587" s="160"/>
      <c r="R587" s="160"/>
      <c r="S587" s="160"/>
      <c r="T587" s="160"/>
      <c r="U587" s="160"/>
      <c r="V587" s="160"/>
      <c r="X587" s="160"/>
      <c r="Y587" s="160"/>
      <c r="AA587" s="160"/>
      <c r="AB587" s="160"/>
      <c r="AC587" s="160"/>
      <c r="AD587" s="190"/>
    </row>
    <row r="588" spans="14:30" x14ac:dyDescent="0.3">
      <c r="N588" s="170"/>
      <c r="P588" s="189"/>
      <c r="Q588" s="160"/>
      <c r="R588" s="160"/>
      <c r="S588" s="160"/>
      <c r="T588" s="160"/>
      <c r="U588" s="160"/>
      <c r="V588" s="160"/>
      <c r="X588" s="160"/>
      <c r="Y588" s="160"/>
      <c r="AA588" s="160"/>
      <c r="AB588" s="160"/>
      <c r="AC588" s="160"/>
      <c r="AD588" s="190"/>
    </row>
    <row r="589" spans="14:30" x14ac:dyDescent="0.3">
      <c r="N589" s="170"/>
      <c r="P589" s="189"/>
      <c r="Q589" s="160"/>
      <c r="R589" s="160"/>
      <c r="S589" s="160"/>
      <c r="T589" s="160"/>
      <c r="U589" s="160"/>
      <c r="V589" s="160"/>
      <c r="X589" s="160"/>
      <c r="Y589" s="160"/>
      <c r="AA589" s="160"/>
      <c r="AB589" s="160"/>
      <c r="AC589" s="160"/>
      <c r="AD589" s="190"/>
    </row>
    <row r="590" spans="14:30" x14ac:dyDescent="0.3">
      <c r="N590" s="170"/>
      <c r="P590" s="189"/>
      <c r="Q590" s="160"/>
      <c r="R590" s="160"/>
      <c r="S590" s="160"/>
      <c r="T590" s="160"/>
      <c r="U590" s="160"/>
      <c r="V590" s="160"/>
      <c r="X590" s="160"/>
      <c r="Y590" s="160"/>
      <c r="AA590" s="160"/>
      <c r="AB590" s="160"/>
      <c r="AC590" s="160"/>
      <c r="AD590" s="190"/>
    </row>
    <row r="591" spans="14:30" x14ac:dyDescent="0.3">
      <c r="N591" s="170"/>
      <c r="P591" s="189"/>
      <c r="Q591" s="160"/>
      <c r="R591" s="160"/>
      <c r="S591" s="160"/>
      <c r="T591" s="160"/>
      <c r="U591" s="160"/>
      <c r="V591" s="160"/>
      <c r="X591" s="160"/>
      <c r="Y591" s="160"/>
      <c r="AA591" s="160"/>
      <c r="AB591" s="160"/>
      <c r="AC591" s="160"/>
      <c r="AD591" s="190"/>
    </row>
    <row r="592" spans="14:30" x14ac:dyDescent="0.3">
      <c r="N592" s="170"/>
      <c r="P592" s="189"/>
      <c r="Q592" s="160"/>
      <c r="R592" s="160"/>
      <c r="S592" s="160"/>
      <c r="T592" s="160"/>
      <c r="U592" s="160"/>
      <c r="V592" s="160"/>
      <c r="X592" s="160"/>
      <c r="Y592" s="160"/>
      <c r="AA592" s="160"/>
      <c r="AB592" s="160"/>
      <c r="AC592" s="160"/>
      <c r="AD592" s="190"/>
    </row>
    <row r="593" spans="14:30" x14ac:dyDescent="0.3">
      <c r="N593" s="170"/>
      <c r="P593" s="189"/>
      <c r="Q593" s="160"/>
      <c r="R593" s="160"/>
      <c r="S593" s="160"/>
      <c r="T593" s="160"/>
      <c r="U593" s="160"/>
      <c r="V593" s="160"/>
      <c r="X593" s="160"/>
      <c r="Y593" s="160"/>
      <c r="AA593" s="160"/>
      <c r="AB593" s="160"/>
      <c r="AC593" s="160"/>
      <c r="AD593" s="190"/>
    </row>
    <row r="594" spans="14:30" x14ac:dyDescent="0.3">
      <c r="N594" s="170"/>
      <c r="P594" s="189"/>
      <c r="Q594" s="160"/>
      <c r="R594" s="160"/>
      <c r="S594" s="160"/>
      <c r="T594" s="160"/>
      <c r="U594" s="160"/>
      <c r="V594" s="160"/>
      <c r="X594" s="160"/>
      <c r="Y594" s="160"/>
      <c r="AA594" s="160"/>
      <c r="AB594" s="160"/>
      <c r="AC594" s="160"/>
      <c r="AD594" s="190"/>
    </row>
    <row r="595" spans="14:30" x14ac:dyDescent="0.3">
      <c r="N595" s="170"/>
      <c r="P595" s="189"/>
      <c r="Q595" s="160"/>
      <c r="R595" s="160"/>
      <c r="S595" s="160"/>
      <c r="T595" s="160"/>
      <c r="U595" s="160"/>
      <c r="V595" s="160"/>
      <c r="X595" s="160"/>
      <c r="Y595" s="160"/>
      <c r="AA595" s="160"/>
      <c r="AB595" s="160"/>
      <c r="AC595" s="160"/>
      <c r="AD595" s="190"/>
    </row>
    <row r="596" spans="14:30" x14ac:dyDescent="0.3">
      <c r="N596" s="170"/>
      <c r="P596" s="189"/>
      <c r="Q596" s="160"/>
      <c r="R596" s="160"/>
      <c r="S596" s="160"/>
      <c r="T596" s="160"/>
      <c r="U596" s="160"/>
      <c r="V596" s="160"/>
      <c r="X596" s="160"/>
      <c r="Y596" s="160"/>
      <c r="AA596" s="160"/>
      <c r="AB596" s="160"/>
      <c r="AC596" s="160"/>
      <c r="AD596" s="190"/>
    </row>
    <row r="597" spans="14:30" x14ac:dyDescent="0.3">
      <c r="N597" s="170"/>
      <c r="P597" s="189"/>
      <c r="Q597" s="160"/>
      <c r="R597" s="160"/>
      <c r="S597" s="160"/>
      <c r="T597" s="160"/>
      <c r="U597" s="160"/>
      <c r="V597" s="160"/>
      <c r="X597" s="160"/>
      <c r="Y597" s="160"/>
      <c r="AA597" s="160"/>
      <c r="AB597" s="160"/>
      <c r="AC597" s="160"/>
      <c r="AD597" s="190"/>
    </row>
    <row r="598" spans="14:30" x14ac:dyDescent="0.3">
      <c r="N598" s="170"/>
      <c r="P598" s="189"/>
      <c r="Q598" s="160"/>
      <c r="R598" s="160"/>
      <c r="S598" s="160"/>
      <c r="T598" s="160"/>
      <c r="U598" s="160"/>
      <c r="V598" s="160"/>
      <c r="X598" s="160"/>
      <c r="Y598" s="160"/>
      <c r="AA598" s="160"/>
      <c r="AB598" s="160"/>
      <c r="AC598" s="160"/>
      <c r="AD598" s="190"/>
    </row>
    <row r="599" spans="14:30" x14ac:dyDescent="0.3">
      <c r="N599" s="170"/>
      <c r="P599" s="189"/>
      <c r="Q599" s="160"/>
      <c r="R599" s="160"/>
      <c r="S599" s="160"/>
      <c r="T599" s="160"/>
      <c r="U599" s="160"/>
      <c r="V599" s="160"/>
      <c r="X599" s="160"/>
      <c r="Y599" s="160"/>
      <c r="AA599" s="160"/>
      <c r="AB599" s="160"/>
      <c r="AC599" s="160"/>
      <c r="AD599" s="190"/>
    </row>
    <row r="600" spans="14:30" x14ac:dyDescent="0.3">
      <c r="N600" s="170"/>
      <c r="P600" s="189"/>
      <c r="Q600" s="160"/>
      <c r="R600" s="160"/>
      <c r="S600" s="160"/>
      <c r="T600" s="160"/>
      <c r="U600" s="160"/>
      <c r="V600" s="160"/>
      <c r="X600" s="160"/>
      <c r="Y600" s="160"/>
      <c r="AA600" s="160"/>
      <c r="AB600" s="160"/>
      <c r="AC600" s="160"/>
      <c r="AD600" s="190"/>
    </row>
    <row r="601" spans="14:30" x14ac:dyDescent="0.3">
      <c r="N601" s="170"/>
      <c r="P601" s="189"/>
      <c r="Q601" s="160"/>
      <c r="R601" s="160"/>
      <c r="S601" s="160"/>
      <c r="T601" s="160"/>
      <c r="U601" s="160"/>
      <c r="V601" s="160"/>
      <c r="X601" s="160"/>
      <c r="Y601" s="160"/>
      <c r="AA601" s="160"/>
      <c r="AB601" s="160"/>
      <c r="AC601" s="160"/>
      <c r="AD601" s="190"/>
    </row>
    <row r="602" spans="14:30" x14ac:dyDescent="0.3">
      <c r="N602" s="170"/>
      <c r="P602" s="189"/>
      <c r="Q602" s="160"/>
      <c r="R602" s="160"/>
      <c r="S602" s="160"/>
      <c r="T602" s="160"/>
      <c r="U602" s="160"/>
      <c r="V602" s="160"/>
      <c r="X602" s="160"/>
      <c r="Y602" s="160"/>
      <c r="AA602" s="160"/>
      <c r="AB602" s="160"/>
      <c r="AC602" s="160"/>
      <c r="AD602" s="190"/>
    </row>
    <row r="603" spans="14:30" x14ac:dyDescent="0.3">
      <c r="N603" s="170"/>
      <c r="P603" s="189"/>
      <c r="Q603" s="160"/>
      <c r="R603" s="160"/>
      <c r="S603" s="160"/>
      <c r="T603" s="160"/>
      <c r="U603" s="160"/>
      <c r="V603" s="160"/>
      <c r="X603" s="160"/>
      <c r="Y603" s="160"/>
      <c r="AA603" s="160"/>
      <c r="AB603" s="160"/>
      <c r="AC603" s="160"/>
      <c r="AD603" s="190"/>
    </row>
    <row r="604" spans="14:30" x14ac:dyDescent="0.3">
      <c r="N604" s="170"/>
      <c r="P604" s="189"/>
      <c r="Q604" s="160"/>
      <c r="R604" s="160"/>
      <c r="S604" s="160"/>
      <c r="T604" s="160"/>
      <c r="U604" s="160"/>
      <c r="V604" s="160"/>
      <c r="X604" s="160"/>
      <c r="Y604" s="160"/>
      <c r="AA604" s="160"/>
      <c r="AB604" s="160"/>
      <c r="AC604" s="160"/>
      <c r="AD604" s="190"/>
    </row>
    <row r="605" spans="14:30" x14ac:dyDescent="0.3">
      <c r="N605" s="170"/>
      <c r="P605" s="189"/>
      <c r="Q605" s="160"/>
      <c r="R605" s="160"/>
      <c r="S605" s="160"/>
      <c r="T605" s="160"/>
      <c r="U605" s="160"/>
      <c r="V605" s="160"/>
      <c r="X605" s="160"/>
      <c r="Y605" s="160"/>
      <c r="AA605" s="160"/>
      <c r="AB605" s="160"/>
      <c r="AC605" s="160"/>
      <c r="AD605" s="190"/>
    </row>
    <row r="606" spans="14:30" x14ac:dyDescent="0.3">
      <c r="N606" s="170"/>
      <c r="P606" s="189"/>
      <c r="Q606" s="160"/>
      <c r="R606" s="160"/>
      <c r="S606" s="160"/>
      <c r="T606" s="160"/>
      <c r="U606" s="160"/>
      <c r="V606" s="160"/>
      <c r="X606" s="160"/>
      <c r="Y606" s="160"/>
      <c r="AA606" s="160"/>
      <c r="AB606" s="160"/>
      <c r="AC606" s="160"/>
      <c r="AD606" s="190"/>
    </row>
    <row r="607" spans="14:30" x14ac:dyDescent="0.3">
      <c r="N607" s="170"/>
      <c r="P607" s="189"/>
      <c r="Q607" s="160"/>
      <c r="R607" s="160"/>
      <c r="S607" s="160"/>
      <c r="T607" s="160"/>
      <c r="U607" s="160"/>
      <c r="V607" s="160"/>
      <c r="X607" s="160"/>
      <c r="Y607" s="160"/>
      <c r="AA607" s="160"/>
      <c r="AB607" s="160"/>
      <c r="AC607" s="160"/>
      <c r="AD607" s="190"/>
    </row>
    <row r="608" spans="14:30" x14ac:dyDescent="0.3">
      <c r="N608" s="170"/>
      <c r="P608" s="189"/>
      <c r="Q608" s="160"/>
      <c r="R608" s="160"/>
      <c r="S608" s="160"/>
      <c r="T608" s="160"/>
      <c r="U608" s="160"/>
      <c r="V608" s="160"/>
      <c r="X608" s="160"/>
      <c r="Y608" s="160"/>
      <c r="AA608" s="160"/>
      <c r="AB608" s="160"/>
      <c r="AC608" s="160"/>
      <c r="AD608" s="190"/>
    </row>
    <row r="609" spans="14:30" x14ac:dyDescent="0.3">
      <c r="N609" s="170"/>
      <c r="P609" s="189"/>
      <c r="Q609" s="160"/>
      <c r="R609" s="160"/>
      <c r="S609" s="160"/>
      <c r="T609" s="160"/>
      <c r="U609" s="160"/>
      <c r="V609" s="160"/>
      <c r="X609" s="160"/>
      <c r="Y609" s="160"/>
      <c r="AA609" s="160"/>
      <c r="AB609" s="160"/>
      <c r="AC609" s="160"/>
      <c r="AD609" s="190"/>
    </row>
    <row r="610" spans="14:30" x14ac:dyDescent="0.3">
      <c r="N610" s="170"/>
      <c r="P610" s="189"/>
      <c r="Q610" s="160"/>
      <c r="R610" s="160"/>
      <c r="S610" s="160"/>
      <c r="T610" s="160"/>
      <c r="U610" s="160"/>
      <c r="V610" s="160"/>
      <c r="X610" s="160"/>
      <c r="Y610" s="160"/>
      <c r="AA610" s="160"/>
      <c r="AB610" s="160"/>
      <c r="AC610" s="160"/>
      <c r="AD610" s="190"/>
    </row>
    <row r="611" spans="14:30" x14ac:dyDescent="0.3">
      <c r="N611" s="170"/>
      <c r="P611" s="189"/>
      <c r="Q611" s="160"/>
      <c r="R611" s="160"/>
      <c r="S611" s="160"/>
      <c r="T611" s="160"/>
      <c r="U611" s="160"/>
      <c r="V611" s="160"/>
      <c r="X611" s="160"/>
      <c r="Y611" s="160"/>
      <c r="AA611" s="160"/>
      <c r="AB611" s="160"/>
      <c r="AC611" s="160"/>
      <c r="AD611" s="190"/>
    </row>
    <row r="612" spans="14:30" x14ac:dyDescent="0.3">
      <c r="N612" s="170"/>
      <c r="P612" s="189"/>
      <c r="Q612" s="160"/>
      <c r="R612" s="160"/>
      <c r="S612" s="160"/>
      <c r="T612" s="160"/>
      <c r="U612" s="160"/>
      <c r="V612" s="160"/>
      <c r="X612" s="160"/>
      <c r="Y612" s="160"/>
      <c r="AA612" s="160"/>
      <c r="AB612" s="160"/>
      <c r="AC612" s="160"/>
      <c r="AD612" s="190"/>
    </row>
    <row r="613" spans="14:30" x14ac:dyDescent="0.3">
      <c r="N613" s="170"/>
      <c r="P613" s="189"/>
      <c r="Q613" s="160"/>
      <c r="R613" s="160"/>
      <c r="S613" s="160"/>
      <c r="T613" s="160"/>
      <c r="U613" s="160"/>
      <c r="V613" s="160"/>
      <c r="X613" s="160"/>
      <c r="Y613" s="160"/>
      <c r="AA613" s="160"/>
      <c r="AB613" s="160"/>
      <c r="AC613" s="160"/>
      <c r="AD613" s="190"/>
    </row>
    <row r="614" spans="14:30" x14ac:dyDescent="0.3">
      <c r="N614" s="170"/>
      <c r="P614" s="189"/>
      <c r="Q614" s="160"/>
      <c r="R614" s="160"/>
      <c r="S614" s="160"/>
      <c r="T614" s="160"/>
      <c r="U614" s="160"/>
      <c r="V614" s="160"/>
      <c r="X614" s="160"/>
      <c r="Y614" s="160"/>
      <c r="AA614" s="160"/>
      <c r="AB614" s="160"/>
      <c r="AC614" s="160"/>
      <c r="AD614" s="190"/>
    </row>
    <row r="615" spans="14:30" x14ac:dyDescent="0.3">
      <c r="N615" s="170"/>
      <c r="P615" s="189"/>
      <c r="Q615" s="160"/>
      <c r="R615" s="160"/>
      <c r="S615" s="160"/>
      <c r="T615" s="160"/>
      <c r="U615" s="160"/>
      <c r="V615" s="160"/>
      <c r="X615" s="160"/>
      <c r="Y615" s="160"/>
      <c r="AA615" s="160"/>
      <c r="AB615" s="160"/>
      <c r="AC615" s="160"/>
      <c r="AD615" s="190"/>
    </row>
    <row r="616" spans="14:30" x14ac:dyDescent="0.3">
      <c r="N616" s="170"/>
      <c r="P616" s="189"/>
      <c r="Q616" s="160"/>
      <c r="R616" s="160"/>
      <c r="S616" s="160"/>
      <c r="T616" s="160"/>
      <c r="U616" s="160"/>
      <c r="V616" s="160"/>
      <c r="X616" s="160"/>
      <c r="Y616" s="160"/>
      <c r="AA616" s="160"/>
      <c r="AB616" s="160"/>
      <c r="AC616" s="160"/>
      <c r="AD616" s="190"/>
    </row>
    <row r="617" spans="14:30" x14ac:dyDescent="0.3">
      <c r="N617" s="170"/>
      <c r="P617" s="189"/>
      <c r="Q617" s="160"/>
      <c r="R617" s="160"/>
      <c r="S617" s="160"/>
      <c r="T617" s="160"/>
      <c r="U617" s="160"/>
      <c r="V617" s="160"/>
      <c r="X617" s="160"/>
      <c r="Y617" s="160"/>
      <c r="AA617" s="160"/>
      <c r="AB617" s="160"/>
      <c r="AC617" s="160"/>
      <c r="AD617" s="190"/>
    </row>
    <row r="618" spans="14:30" x14ac:dyDescent="0.3">
      <c r="N618" s="170"/>
      <c r="P618" s="189"/>
      <c r="Q618" s="160"/>
      <c r="R618" s="160"/>
      <c r="S618" s="160"/>
      <c r="T618" s="160"/>
      <c r="U618" s="160"/>
      <c r="V618" s="160"/>
      <c r="X618" s="160"/>
      <c r="Y618" s="160"/>
      <c r="AA618" s="160"/>
      <c r="AB618" s="160"/>
      <c r="AC618" s="160"/>
      <c r="AD618" s="190"/>
    </row>
    <row r="619" spans="14:30" x14ac:dyDescent="0.3">
      <c r="N619" s="170"/>
      <c r="P619" s="189"/>
      <c r="Q619" s="160"/>
      <c r="R619" s="160"/>
      <c r="S619" s="160"/>
      <c r="T619" s="160"/>
      <c r="U619" s="160"/>
      <c r="V619" s="160"/>
      <c r="X619" s="160"/>
      <c r="Y619" s="160"/>
      <c r="AA619" s="160"/>
      <c r="AB619" s="160"/>
      <c r="AC619" s="160"/>
      <c r="AD619" s="190"/>
    </row>
    <row r="620" spans="14:30" x14ac:dyDescent="0.3">
      <c r="N620" s="170"/>
      <c r="P620" s="189"/>
      <c r="Q620" s="160"/>
      <c r="R620" s="160"/>
      <c r="S620" s="160"/>
      <c r="T620" s="160"/>
      <c r="U620" s="160"/>
      <c r="V620" s="160"/>
      <c r="X620" s="160"/>
      <c r="Y620" s="160"/>
      <c r="AA620" s="160"/>
      <c r="AB620" s="160"/>
      <c r="AC620" s="160"/>
      <c r="AD620" s="190"/>
    </row>
    <row r="621" spans="14:30" x14ac:dyDescent="0.3">
      <c r="N621" s="170"/>
      <c r="P621" s="189"/>
      <c r="Q621" s="160"/>
      <c r="R621" s="160"/>
      <c r="S621" s="160"/>
      <c r="T621" s="160"/>
      <c r="U621" s="160"/>
      <c r="V621" s="160"/>
      <c r="X621" s="160"/>
      <c r="Y621" s="160"/>
      <c r="AA621" s="160"/>
      <c r="AB621" s="160"/>
      <c r="AC621" s="160"/>
      <c r="AD621" s="190"/>
    </row>
    <row r="622" spans="14:30" x14ac:dyDescent="0.3">
      <c r="N622" s="170"/>
      <c r="P622" s="189"/>
      <c r="Q622" s="160"/>
      <c r="R622" s="160"/>
      <c r="S622" s="160"/>
      <c r="T622" s="160"/>
      <c r="U622" s="160"/>
      <c r="V622" s="160"/>
      <c r="X622" s="160"/>
      <c r="Y622" s="160"/>
      <c r="AA622" s="160"/>
      <c r="AB622" s="160"/>
      <c r="AC622" s="160"/>
      <c r="AD622" s="190"/>
    </row>
    <row r="623" spans="14:30" x14ac:dyDescent="0.3">
      <c r="N623" s="170"/>
      <c r="P623" s="189"/>
      <c r="Q623" s="160"/>
      <c r="R623" s="160"/>
      <c r="S623" s="160"/>
      <c r="T623" s="160"/>
      <c r="U623" s="160"/>
      <c r="V623" s="160"/>
      <c r="X623" s="160"/>
      <c r="Y623" s="160"/>
      <c r="AA623" s="160"/>
      <c r="AB623" s="160"/>
      <c r="AC623" s="160"/>
      <c r="AD623" s="190"/>
    </row>
    <row r="624" spans="14:30" x14ac:dyDescent="0.3">
      <c r="N624" s="170"/>
      <c r="P624" s="189"/>
      <c r="Q624" s="160"/>
      <c r="R624" s="160"/>
      <c r="S624" s="160"/>
      <c r="T624" s="160"/>
      <c r="U624" s="160"/>
      <c r="V624" s="160"/>
      <c r="X624" s="160"/>
      <c r="Y624" s="160"/>
      <c r="AA624" s="160"/>
      <c r="AB624" s="160"/>
      <c r="AC624" s="160"/>
      <c r="AD624" s="190"/>
    </row>
    <row r="625" spans="14:30" x14ac:dyDescent="0.3">
      <c r="N625" s="170"/>
      <c r="P625" s="189"/>
      <c r="Q625" s="160"/>
      <c r="R625" s="160"/>
      <c r="S625" s="160"/>
      <c r="T625" s="160"/>
      <c r="U625" s="160"/>
      <c r="V625" s="160"/>
      <c r="X625" s="160"/>
      <c r="Y625" s="160"/>
      <c r="AA625" s="160"/>
      <c r="AB625" s="160"/>
      <c r="AC625" s="160"/>
      <c r="AD625" s="190"/>
    </row>
    <row r="626" spans="14:30" x14ac:dyDescent="0.3">
      <c r="N626" s="170"/>
      <c r="P626" s="189"/>
      <c r="Q626" s="160"/>
      <c r="R626" s="160"/>
      <c r="S626" s="160"/>
      <c r="T626" s="160"/>
      <c r="U626" s="160"/>
      <c r="V626" s="160"/>
      <c r="X626" s="160"/>
      <c r="Y626" s="160"/>
      <c r="AA626" s="160"/>
      <c r="AB626" s="160"/>
      <c r="AC626" s="160"/>
      <c r="AD626" s="190"/>
    </row>
    <row r="627" spans="14:30" x14ac:dyDescent="0.3">
      <c r="N627" s="170"/>
      <c r="P627" s="189"/>
      <c r="Q627" s="160"/>
      <c r="R627" s="160"/>
      <c r="S627" s="160"/>
      <c r="T627" s="160"/>
      <c r="U627" s="160"/>
      <c r="V627" s="160"/>
      <c r="X627" s="160"/>
      <c r="Y627" s="160"/>
      <c r="AA627" s="160"/>
      <c r="AB627" s="160"/>
      <c r="AC627" s="160"/>
      <c r="AD627" s="190"/>
    </row>
    <row r="628" spans="14:30" x14ac:dyDescent="0.3">
      <c r="N628" s="170"/>
      <c r="P628" s="189"/>
      <c r="Q628" s="160"/>
      <c r="R628" s="160"/>
      <c r="S628" s="160"/>
      <c r="T628" s="160"/>
      <c r="U628" s="160"/>
      <c r="V628" s="160"/>
      <c r="X628" s="160"/>
      <c r="Y628" s="160"/>
      <c r="AA628" s="160"/>
      <c r="AB628" s="160"/>
      <c r="AC628" s="160"/>
      <c r="AD628" s="190"/>
    </row>
    <row r="629" spans="14:30" x14ac:dyDescent="0.3">
      <c r="N629" s="170"/>
      <c r="P629" s="189"/>
      <c r="Q629" s="160"/>
      <c r="R629" s="160"/>
      <c r="S629" s="160"/>
      <c r="T629" s="160"/>
      <c r="U629" s="160"/>
      <c r="V629" s="160"/>
      <c r="X629" s="160"/>
      <c r="Y629" s="160"/>
      <c r="AA629" s="160"/>
      <c r="AB629" s="160"/>
      <c r="AC629" s="160"/>
      <c r="AD629" s="190"/>
    </row>
    <row r="630" spans="14:30" x14ac:dyDescent="0.3">
      <c r="N630" s="170"/>
      <c r="P630" s="189"/>
      <c r="Q630" s="160"/>
      <c r="R630" s="160"/>
      <c r="S630" s="160"/>
      <c r="T630" s="160"/>
      <c r="U630" s="160"/>
      <c r="V630" s="160"/>
      <c r="X630" s="160"/>
      <c r="Y630" s="160"/>
      <c r="AA630" s="160"/>
      <c r="AB630" s="160"/>
      <c r="AC630" s="160"/>
      <c r="AD630" s="190"/>
    </row>
    <row r="631" spans="14:30" x14ac:dyDescent="0.3">
      <c r="N631" s="170"/>
      <c r="P631" s="189"/>
      <c r="Q631" s="160"/>
      <c r="R631" s="160"/>
      <c r="S631" s="160"/>
      <c r="T631" s="160"/>
      <c r="U631" s="160"/>
      <c r="V631" s="160"/>
      <c r="X631" s="160"/>
      <c r="Y631" s="160"/>
      <c r="AA631" s="160"/>
      <c r="AB631" s="160"/>
      <c r="AC631" s="160"/>
      <c r="AD631" s="190"/>
    </row>
    <row r="632" spans="14:30" x14ac:dyDescent="0.3">
      <c r="N632" s="170"/>
      <c r="P632" s="189"/>
      <c r="Q632" s="160"/>
      <c r="R632" s="160"/>
      <c r="S632" s="160"/>
      <c r="T632" s="160"/>
      <c r="U632" s="160"/>
      <c r="V632" s="160"/>
      <c r="X632" s="160"/>
      <c r="Y632" s="160"/>
      <c r="AA632" s="160"/>
      <c r="AB632" s="160"/>
      <c r="AC632" s="160"/>
      <c r="AD632" s="190"/>
    </row>
    <row r="633" spans="14:30" x14ac:dyDescent="0.3">
      <c r="N633" s="170"/>
      <c r="P633" s="189"/>
      <c r="Q633" s="160"/>
      <c r="R633" s="160"/>
      <c r="S633" s="160"/>
      <c r="T633" s="160"/>
      <c r="U633" s="160"/>
      <c r="V633" s="160"/>
      <c r="X633" s="160"/>
      <c r="Y633" s="160"/>
      <c r="AA633" s="160"/>
      <c r="AB633" s="160"/>
      <c r="AC633" s="160"/>
      <c r="AD633" s="190"/>
    </row>
    <row r="634" spans="14:30" x14ac:dyDescent="0.3">
      <c r="N634" s="170"/>
      <c r="P634" s="189"/>
      <c r="Q634" s="160"/>
      <c r="R634" s="160"/>
      <c r="S634" s="160"/>
      <c r="T634" s="160"/>
      <c r="U634" s="160"/>
      <c r="V634" s="160"/>
      <c r="X634" s="160"/>
      <c r="Y634" s="160"/>
      <c r="AA634" s="160"/>
      <c r="AB634" s="160"/>
      <c r="AC634" s="160"/>
      <c r="AD634" s="190"/>
    </row>
    <row r="635" spans="14:30" x14ac:dyDescent="0.3">
      <c r="N635" s="170"/>
      <c r="P635" s="189"/>
      <c r="Q635" s="160"/>
      <c r="R635" s="160"/>
      <c r="S635" s="160"/>
      <c r="T635" s="160"/>
      <c r="U635" s="160"/>
      <c r="V635" s="160"/>
      <c r="X635" s="160"/>
      <c r="Y635" s="160"/>
      <c r="AA635" s="160"/>
      <c r="AB635" s="160"/>
      <c r="AC635" s="160"/>
      <c r="AD635" s="190"/>
    </row>
    <row r="636" spans="14:30" x14ac:dyDescent="0.3">
      <c r="N636" s="170"/>
      <c r="P636" s="189"/>
      <c r="Q636" s="160"/>
      <c r="R636" s="160"/>
      <c r="S636" s="160"/>
      <c r="T636" s="160"/>
      <c r="U636" s="160"/>
      <c r="V636" s="160"/>
      <c r="X636" s="160"/>
      <c r="Y636" s="160"/>
      <c r="AA636" s="160"/>
      <c r="AB636" s="160"/>
      <c r="AC636" s="160"/>
      <c r="AD636" s="190"/>
    </row>
    <row r="637" spans="14:30" x14ac:dyDescent="0.3">
      <c r="N637" s="170"/>
      <c r="P637" s="189"/>
      <c r="Q637" s="160"/>
      <c r="R637" s="160"/>
      <c r="S637" s="160"/>
      <c r="T637" s="160"/>
      <c r="U637" s="160"/>
      <c r="V637" s="160"/>
      <c r="X637" s="160"/>
      <c r="Y637" s="160"/>
      <c r="AA637" s="160"/>
      <c r="AB637" s="160"/>
      <c r="AC637" s="160"/>
      <c r="AD637" s="190"/>
    </row>
    <row r="638" spans="14:30" x14ac:dyDescent="0.3">
      <c r="N638" s="170"/>
      <c r="P638" s="189"/>
      <c r="Q638" s="160"/>
      <c r="R638" s="160"/>
      <c r="S638" s="160"/>
      <c r="T638" s="160"/>
      <c r="U638" s="160"/>
      <c r="V638" s="160"/>
      <c r="X638" s="160"/>
      <c r="Y638" s="160"/>
      <c r="AA638" s="160"/>
      <c r="AB638" s="160"/>
      <c r="AC638" s="160"/>
      <c r="AD638" s="190"/>
    </row>
    <row r="639" spans="14:30" x14ac:dyDescent="0.3">
      <c r="N639" s="170"/>
      <c r="P639" s="189"/>
      <c r="Q639" s="160"/>
      <c r="R639" s="160"/>
      <c r="S639" s="160"/>
      <c r="T639" s="160"/>
      <c r="U639" s="160"/>
      <c r="V639" s="160"/>
      <c r="X639" s="160"/>
      <c r="Y639" s="160"/>
      <c r="AA639" s="160"/>
      <c r="AB639" s="160"/>
      <c r="AC639" s="160"/>
      <c r="AD639" s="190"/>
    </row>
    <row r="640" spans="14:30" x14ac:dyDescent="0.3">
      <c r="N640" s="170"/>
      <c r="P640" s="189"/>
      <c r="Q640" s="160"/>
      <c r="R640" s="160"/>
      <c r="S640" s="160"/>
      <c r="T640" s="160"/>
      <c r="U640" s="160"/>
      <c r="V640" s="160"/>
      <c r="X640" s="160"/>
      <c r="Y640" s="160"/>
      <c r="AA640" s="160"/>
      <c r="AB640" s="160"/>
      <c r="AC640" s="160"/>
      <c r="AD640" s="190"/>
    </row>
    <row r="641" spans="14:30" x14ac:dyDescent="0.3">
      <c r="N641" s="170"/>
      <c r="P641" s="189"/>
      <c r="Q641" s="160"/>
      <c r="R641" s="160"/>
      <c r="S641" s="160"/>
      <c r="T641" s="160"/>
      <c r="U641" s="160"/>
      <c r="V641" s="160"/>
      <c r="X641" s="160"/>
      <c r="Y641" s="160"/>
      <c r="AA641" s="160"/>
      <c r="AB641" s="160"/>
      <c r="AC641" s="160"/>
      <c r="AD641" s="190"/>
    </row>
    <row r="642" spans="14:30" x14ac:dyDescent="0.3">
      <c r="N642" s="170"/>
      <c r="P642" s="189"/>
      <c r="Q642" s="160"/>
      <c r="R642" s="160"/>
      <c r="S642" s="160"/>
      <c r="T642" s="160"/>
      <c r="U642" s="160"/>
      <c r="V642" s="160"/>
      <c r="X642" s="160"/>
      <c r="Y642" s="160"/>
      <c r="AA642" s="160"/>
      <c r="AB642" s="160"/>
      <c r="AC642" s="160"/>
      <c r="AD642" s="190"/>
    </row>
    <row r="643" spans="14:30" x14ac:dyDescent="0.3">
      <c r="N643" s="170"/>
      <c r="P643" s="189"/>
      <c r="Q643" s="160"/>
      <c r="R643" s="160"/>
      <c r="S643" s="160"/>
      <c r="T643" s="160"/>
      <c r="U643" s="160"/>
      <c r="V643" s="160"/>
      <c r="X643" s="160"/>
      <c r="Y643" s="160"/>
      <c r="AA643" s="160"/>
      <c r="AB643" s="160"/>
      <c r="AC643" s="160"/>
      <c r="AD643" s="190"/>
    </row>
    <row r="644" spans="14:30" x14ac:dyDescent="0.3">
      <c r="N644" s="170"/>
      <c r="P644" s="189"/>
      <c r="Q644" s="160"/>
      <c r="R644" s="160"/>
      <c r="S644" s="160"/>
      <c r="T644" s="160"/>
      <c r="U644" s="160"/>
      <c r="V644" s="160"/>
      <c r="X644" s="160"/>
      <c r="Y644" s="160"/>
      <c r="AA644" s="160"/>
      <c r="AB644" s="160"/>
      <c r="AC644" s="160"/>
      <c r="AD644" s="190"/>
    </row>
    <row r="645" spans="14:30" x14ac:dyDescent="0.3">
      <c r="N645" s="170"/>
      <c r="P645" s="189"/>
      <c r="Q645" s="160"/>
      <c r="R645" s="160"/>
      <c r="S645" s="160"/>
      <c r="T645" s="160"/>
      <c r="U645" s="160"/>
      <c r="V645" s="160"/>
      <c r="X645" s="160"/>
      <c r="Y645" s="160"/>
      <c r="AA645" s="160"/>
      <c r="AB645" s="160"/>
      <c r="AC645" s="160"/>
      <c r="AD645" s="190"/>
    </row>
    <row r="646" spans="14:30" x14ac:dyDescent="0.3">
      <c r="N646" s="170"/>
      <c r="P646" s="189"/>
      <c r="Q646" s="160"/>
      <c r="R646" s="160"/>
      <c r="S646" s="160"/>
      <c r="T646" s="160"/>
      <c r="U646" s="160"/>
      <c r="V646" s="160"/>
      <c r="X646" s="160"/>
      <c r="Y646" s="160"/>
      <c r="AA646" s="160"/>
      <c r="AB646" s="160"/>
      <c r="AC646" s="160"/>
      <c r="AD646" s="190"/>
    </row>
    <row r="647" spans="14:30" x14ac:dyDescent="0.3">
      <c r="N647" s="170"/>
      <c r="P647" s="189"/>
      <c r="Q647" s="160"/>
      <c r="R647" s="160"/>
      <c r="S647" s="160"/>
      <c r="T647" s="160"/>
      <c r="U647" s="160"/>
      <c r="V647" s="160"/>
      <c r="X647" s="160"/>
      <c r="Y647" s="160"/>
      <c r="AA647" s="160"/>
      <c r="AB647" s="160"/>
      <c r="AC647" s="160"/>
      <c r="AD647" s="190"/>
    </row>
    <row r="648" spans="14:30" x14ac:dyDescent="0.3">
      <c r="N648" s="170"/>
      <c r="P648" s="189"/>
      <c r="Q648" s="160"/>
      <c r="R648" s="160"/>
      <c r="S648" s="160"/>
      <c r="T648" s="160"/>
      <c r="U648" s="160"/>
      <c r="V648" s="160"/>
      <c r="X648" s="160"/>
      <c r="Y648" s="160"/>
      <c r="AA648" s="160"/>
      <c r="AB648" s="160"/>
      <c r="AC648" s="160"/>
      <c r="AD648" s="190"/>
    </row>
    <row r="649" spans="14:30" x14ac:dyDescent="0.3">
      <c r="N649" s="170"/>
      <c r="P649" s="189"/>
      <c r="Q649" s="160"/>
      <c r="R649" s="160"/>
      <c r="S649" s="160"/>
      <c r="T649" s="160"/>
      <c r="U649" s="160"/>
      <c r="V649" s="160"/>
      <c r="X649" s="160"/>
      <c r="Y649" s="160"/>
      <c r="AA649" s="160"/>
      <c r="AB649" s="160"/>
      <c r="AC649" s="160"/>
      <c r="AD649" s="190"/>
    </row>
    <row r="650" spans="14:30" x14ac:dyDescent="0.3">
      <c r="N650" s="170"/>
      <c r="P650" s="189"/>
      <c r="Q650" s="160"/>
      <c r="R650" s="160"/>
      <c r="S650" s="160"/>
      <c r="T650" s="160"/>
      <c r="U650" s="160"/>
      <c r="V650" s="160"/>
      <c r="X650" s="160"/>
      <c r="Y650" s="160"/>
      <c r="AA650" s="160"/>
      <c r="AB650" s="160"/>
      <c r="AC650" s="160"/>
      <c r="AD650" s="190"/>
    </row>
    <row r="651" spans="14:30" x14ac:dyDescent="0.3">
      <c r="N651" s="170"/>
      <c r="P651" s="189"/>
      <c r="Q651" s="160"/>
      <c r="R651" s="160"/>
      <c r="S651" s="160"/>
      <c r="T651" s="160"/>
      <c r="U651" s="160"/>
      <c r="V651" s="160"/>
      <c r="X651" s="160"/>
      <c r="Y651" s="160"/>
      <c r="AA651" s="160"/>
      <c r="AB651" s="160"/>
      <c r="AC651" s="160"/>
      <c r="AD651" s="190"/>
    </row>
    <row r="652" spans="14:30" x14ac:dyDescent="0.3">
      <c r="N652" s="170"/>
      <c r="P652" s="189"/>
      <c r="Q652" s="160"/>
      <c r="R652" s="160"/>
      <c r="S652" s="160"/>
      <c r="T652" s="160"/>
      <c r="U652" s="160"/>
      <c r="V652" s="160"/>
      <c r="X652" s="160"/>
      <c r="Y652" s="160"/>
      <c r="AA652" s="160"/>
      <c r="AB652" s="160"/>
      <c r="AC652" s="160"/>
      <c r="AD652" s="190"/>
    </row>
    <row r="653" spans="14:30" x14ac:dyDescent="0.3">
      <c r="N653" s="170"/>
      <c r="P653" s="189"/>
      <c r="Q653" s="160"/>
      <c r="R653" s="160"/>
      <c r="S653" s="160"/>
      <c r="T653" s="160"/>
      <c r="U653" s="160"/>
      <c r="V653" s="160"/>
      <c r="X653" s="160"/>
      <c r="Y653" s="160"/>
      <c r="AA653" s="160"/>
      <c r="AB653" s="160"/>
      <c r="AC653" s="160"/>
      <c r="AD653" s="190"/>
    </row>
    <row r="654" spans="14:30" x14ac:dyDescent="0.3">
      <c r="N654" s="170"/>
      <c r="P654" s="189"/>
      <c r="Q654" s="160"/>
      <c r="R654" s="160"/>
      <c r="S654" s="160"/>
      <c r="T654" s="160"/>
      <c r="U654" s="160"/>
      <c r="V654" s="160"/>
      <c r="X654" s="160"/>
      <c r="Y654" s="160"/>
      <c r="AA654" s="160"/>
      <c r="AB654" s="160"/>
      <c r="AC654" s="160"/>
      <c r="AD654" s="190"/>
    </row>
    <row r="655" spans="14:30" x14ac:dyDescent="0.3">
      <c r="N655" s="170"/>
      <c r="P655" s="189"/>
      <c r="Q655" s="160"/>
      <c r="R655" s="160"/>
      <c r="S655" s="160"/>
      <c r="T655" s="160"/>
      <c r="U655" s="160"/>
      <c r="V655" s="160"/>
      <c r="X655" s="160"/>
      <c r="Y655" s="160"/>
      <c r="AA655" s="160"/>
      <c r="AB655" s="160"/>
      <c r="AC655" s="160"/>
      <c r="AD655" s="190"/>
    </row>
    <row r="656" spans="14:30" x14ac:dyDescent="0.3">
      <c r="N656" s="170"/>
      <c r="P656" s="189"/>
      <c r="Q656" s="160"/>
      <c r="R656" s="160"/>
      <c r="S656" s="160"/>
      <c r="T656" s="160"/>
      <c r="U656" s="160"/>
      <c r="V656" s="160"/>
      <c r="X656" s="160"/>
      <c r="Y656" s="160"/>
      <c r="AA656" s="160"/>
      <c r="AB656" s="160"/>
      <c r="AC656" s="160"/>
      <c r="AD656" s="190"/>
    </row>
    <row r="657" spans="14:30" x14ac:dyDescent="0.3">
      <c r="N657" s="170"/>
      <c r="P657" s="189"/>
      <c r="Q657" s="160"/>
      <c r="R657" s="160"/>
      <c r="S657" s="160"/>
      <c r="T657" s="160"/>
      <c r="U657" s="160"/>
      <c r="V657" s="160"/>
      <c r="X657" s="160"/>
      <c r="Y657" s="160"/>
      <c r="AA657" s="160"/>
      <c r="AB657" s="160"/>
      <c r="AC657" s="160"/>
      <c r="AD657" s="190"/>
    </row>
    <row r="658" spans="14:30" x14ac:dyDescent="0.3">
      <c r="N658" s="170"/>
      <c r="P658" s="189"/>
      <c r="Q658" s="160"/>
      <c r="R658" s="160"/>
      <c r="S658" s="160"/>
      <c r="T658" s="160"/>
      <c r="U658" s="160"/>
      <c r="V658" s="160"/>
      <c r="X658" s="160"/>
      <c r="Y658" s="160"/>
      <c r="AA658" s="160"/>
      <c r="AB658" s="160"/>
      <c r="AC658" s="160"/>
      <c r="AD658" s="190"/>
    </row>
    <row r="659" spans="14:30" x14ac:dyDescent="0.3">
      <c r="N659" s="170"/>
      <c r="P659" s="189"/>
      <c r="Q659" s="160"/>
      <c r="R659" s="160"/>
      <c r="S659" s="160"/>
      <c r="T659" s="160"/>
      <c r="U659" s="160"/>
      <c r="V659" s="160"/>
      <c r="X659" s="160"/>
      <c r="Y659" s="160"/>
      <c r="AA659" s="160"/>
      <c r="AB659" s="160"/>
      <c r="AC659" s="160"/>
      <c r="AD659" s="190"/>
    </row>
    <row r="660" spans="14:30" x14ac:dyDescent="0.3">
      <c r="N660" s="170"/>
      <c r="P660" s="189"/>
      <c r="Q660" s="160"/>
      <c r="R660" s="160"/>
      <c r="S660" s="160"/>
      <c r="T660" s="160"/>
      <c r="U660" s="160"/>
      <c r="V660" s="160"/>
      <c r="X660" s="160"/>
      <c r="Y660" s="160"/>
      <c r="AA660" s="160"/>
      <c r="AB660" s="160"/>
      <c r="AC660" s="160"/>
      <c r="AD660" s="190"/>
    </row>
    <row r="661" spans="14:30" x14ac:dyDescent="0.3">
      <c r="N661" s="170"/>
      <c r="P661" s="189"/>
      <c r="Q661" s="160"/>
      <c r="R661" s="160"/>
      <c r="S661" s="160"/>
      <c r="T661" s="160"/>
      <c r="U661" s="160"/>
      <c r="V661" s="160"/>
      <c r="X661" s="160"/>
      <c r="Y661" s="160"/>
      <c r="AA661" s="160"/>
      <c r="AB661" s="160"/>
      <c r="AC661" s="160"/>
      <c r="AD661" s="190"/>
    </row>
    <row r="662" spans="14:30" x14ac:dyDescent="0.3">
      <c r="N662" s="170"/>
      <c r="P662" s="189"/>
      <c r="Q662" s="160"/>
      <c r="R662" s="160"/>
      <c r="S662" s="160"/>
      <c r="T662" s="160"/>
      <c r="U662" s="160"/>
      <c r="V662" s="160"/>
      <c r="X662" s="160"/>
      <c r="Y662" s="160"/>
      <c r="AA662" s="160"/>
      <c r="AB662" s="160"/>
      <c r="AC662" s="160"/>
      <c r="AD662" s="190"/>
    </row>
    <row r="663" spans="14:30" x14ac:dyDescent="0.3">
      <c r="N663" s="170"/>
      <c r="P663" s="189"/>
      <c r="Q663" s="160"/>
      <c r="R663" s="160"/>
      <c r="S663" s="160"/>
      <c r="T663" s="160"/>
      <c r="U663" s="160"/>
      <c r="V663" s="160"/>
      <c r="X663" s="160"/>
      <c r="Y663" s="160"/>
      <c r="AA663" s="160"/>
      <c r="AB663" s="160"/>
      <c r="AC663" s="160"/>
      <c r="AD663" s="190"/>
    </row>
    <row r="664" spans="14:30" x14ac:dyDescent="0.3">
      <c r="N664" s="170"/>
      <c r="P664" s="189"/>
      <c r="Q664" s="160"/>
      <c r="R664" s="160"/>
      <c r="S664" s="160"/>
      <c r="T664" s="160"/>
      <c r="U664" s="160"/>
      <c r="V664" s="160"/>
      <c r="X664" s="160"/>
      <c r="Y664" s="160"/>
      <c r="AA664" s="160"/>
      <c r="AB664" s="160"/>
      <c r="AC664" s="160"/>
      <c r="AD664" s="190"/>
    </row>
    <row r="665" spans="14:30" x14ac:dyDescent="0.3">
      <c r="N665" s="170"/>
      <c r="P665" s="189"/>
      <c r="Q665" s="160"/>
      <c r="R665" s="160"/>
      <c r="S665" s="160"/>
      <c r="T665" s="160"/>
      <c r="U665" s="160"/>
      <c r="V665" s="160"/>
      <c r="X665" s="160"/>
      <c r="Y665" s="160"/>
      <c r="AA665" s="160"/>
      <c r="AB665" s="160"/>
      <c r="AC665" s="160"/>
      <c r="AD665" s="190"/>
    </row>
    <row r="666" spans="14:30" x14ac:dyDescent="0.3">
      <c r="N666" s="170"/>
      <c r="P666" s="189"/>
      <c r="Q666" s="160"/>
      <c r="R666" s="160"/>
      <c r="S666" s="160"/>
      <c r="T666" s="160"/>
      <c r="U666" s="160"/>
      <c r="V666" s="160"/>
      <c r="X666" s="160"/>
      <c r="Y666" s="160"/>
      <c r="AA666" s="160"/>
      <c r="AB666" s="160"/>
      <c r="AC666" s="160"/>
      <c r="AD666" s="190"/>
    </row>
    <row r="667" spans="14:30" x14ac:dyDescent="0.3">
      <c r="N667" s="170"/>
      <c r="P667" s="189"/>
      <c r="Q667" s="160"/>
      <c r="R667" s="160"/>
      <c r="S667" s="160"/>
      <c r="T667" s="160"/>
      <c r="U667" s="160"/>
      <c r="V667" s="160"/>
      <c r="X667" s="160"/>
      <c r="Y667" s="160"/>
      <c r="AA667" s="160"/>
      <c r="AB667" s="160"/>
      <c r="AC667" s="160"/>
      <c r="AD667" s="190"/>
    </row>
    <row r="668" spans="14:30" x14ac:dyDescent="0.3">
      <c r="N668" s="170"/>
      <c r="P668" s="189"/>
      <c r="Q668" s="160"/>
      <c r="R668" s="160"/>
      <c r="S668" s="160"/>
      <c r="T668" s="160"/>
      <c r="U668" s="160"/>
      <c r="V668" s="160"/>
      <c r="X668" s="160"/>
      <c r="Y668" s="160"/>
      <c r="AA668" s="160"/>
      <c r="AB668" s="160"/>
      <c r="AC668" s="160"/>
      <c r="AD668" s="190"/>
    </row>
    <row r="669" spans="14:30" x14ac:dyDescent="0.3">
      <c r="N669" s="170"/>
      <c r="P669" s="189"/>
      <c r="Q669" s="160"/>
      <c r="R669" s="160"/>
      <c r="S669" s="160"/>
      <c r="T669" s="160"/>
      <c r="U669" s="160"/>
      <c r="V669" s="160"/>
      <c r="X669" s="160"/>
      <c r="Y669" s="160"/>
      <c r="AA669" s="160"/>
      <c r="AB669" s="160"/>
      <c r="AC669" s="160"/>
      <c r="AD669" s="190"/>
    </row>
    <row r="670" spans="14:30" x14ac:dyDescent="0.3">
      <c r="N670" s="170"/>
      <c r="P670" s="189"/>
      <c r="Q670" s="160"/>
      <c r="R670" s="160"/>
      <c r="S670" s="160"/>
      <c r="T670" s="160"/>
      <c r="U670" s="160"/>
      <c r="V670" s="160"/>
      <c r="X670" s="160"/>
      <c r="Y670" s="160"/>
      <c r="AA670" s="160"/>
      <c r="AB670" s="160"/>
      <c r="AC670" s="160"/>
      <c r="AD670" s="190"/>
    </row>
    <row r="671" spans="14:30" x14ac:dyDescent="0.3">
      <c r="N671" s="170"/>
      <c r="P671" s="189"/>
      <c r="Q671" s="160"/>
      <c r="R671" s="160"/>
      <c r="S671" s="160"/>
      <c r="T671" s="160"/>
      <c r="U671" s="160"/>
      <c r="V671" s="160"/>
      <c r="X671" s="160"/>
      <c r="Y671" s="160"/>
      <c r="AA671" s="160"/>
      <c r="AB671" s="160"/>
      <c r="AC671" s="160"/>
      <c r="AD671" s="190"/>
    </row>
    <row r="672" spans="14:30" x14ac:dyDescent="0.3">
      <c r="N672" s="170"/>
      <c r="P672" s="189"/>
      <c r="Q672" s="160"/>
      <c r="R672" s="160"/>
      <c r="S672" s="160"/>
      <c r="T672" s="160"/>
      <c r="U672" s="160"/>
      <c r="V672" s="160"/>
      <c r="X672" s="160"/>
      <c r="Y672" s="160"/>
      <c r="AA672" s="160"/>
      <c r="AB672" s="160"/>
      <c r="AC672" s="160"/>
      <c r="AD672" s="190"/>
    </row>
    <row r="673" spans="14:30" x14ac:dyDescent="0.3">
      <c r="N673" s="170"/>
      <c r="P673" s="189"/>
      <c r="Q673" s="160"/>
      <c r="R673" s="160"/>
      <c r="S673" s="160"/>
      <c r="T673" s="160"/>
      <c r="U673" s="160"/>
      <c r="V673" s="160"/>
      <c r="X673" s="160"/>
      <c r="Y673" s="160"/>
      <c r="AA673" s="160"/>
      <c r="AB673" s="160"/>
      <c r="AC673" s="160"/>
      <c r="AD673" s="190"/>
    </row>
    <row r="674" spans="14:30" x14ac:dyDescent="0.3">
      <c r="N674" s="170"/>
      <c r="P674" s="189"/>
      <c r="Q674" s="160"/>
      <c r="R674" s="160"/>
      <c r="S674" s="160"/>
      <c r="T674" s="160"/>
      <c r="U674" s="160"/>
      <c r="V674" s="160"/>
      <c r="X674" s="160"/>
      <c r="Y674" s="160"/>
      <c r="AA674" s="160"/>
      <c r="AB674" s="160"/>
      <c r="AC674" s="160"/>
      <c r="AD674" s="190"/>
    </row>
    <row r="675" spans="14:30" x14ac:dyDescent="0.3">
      <c r="N675" s="170"/>
      <c r="P675" s="189"/>
      <c r="Q675" s="160"/>
      <c r="R675" s="160"/>
      <c r="S675" s="160"/>
      <c r="T675" s="160"/>
      <c r="U675" s="160"/>
      <c r="V675" s="160"/>
      <c r="X675" s="160"/>
      <c r="Y675" s="160"/>
      <c r="AA675" s="160"/>
      <c r="AB675" s="160"/>
      <c r="AC675" s="160"/>
      <c r="AD675" s="190"/>
    </row>
    <row r="676" spans="14:30" x14ac:dyDescent="0.3">
      <c r="N676" s="170"/>
      <c r="P676" s="189"/>
      <c r="Q676" s="160"/>
      <c r="R676" s="160"/>
      <c r="S676" s="160"/>
      <c r="T676" s="160"/>
      <c r="U676" s="160"/>
      <c r="V676" s="160"/>
      <c r="X676" s="160"/>
      <c r="Y676" s="160"/>
      <c r="AA676" s="160"/>
      <c r="AB676" s="160"/>
      <c r="AC676" s="160"/>
      <c r="AD676" s="190"/>
    </row>
    <row r="677" spans="14:30" x14ac:dyDescent="0.3">
      <c r="N677" s="170"/>
      <c r="P677" s="189"/>
      <c r="Q677" s="160"/>
      <c r="R677" s="160"/>
      <c r="S677" s="160"/>
      <c r="T677" s="160"/>
      <c r="U677" s="160"/>
      <c r="V677" s="160"/>
      <c r="X677" s="160"/>
      <c r="Y677" s="160"/>
      <c r="AA677" s="160"/>
      <c r="AB677" s="160"/>
      <c r="AC677" s="160"/>
      <c r="AD677" s="190"/>
    </row>
    <row r="678" spans="14:30" x14ac:dyDescent="0.3">
      <c r="N678" s="170"/>
      <c r="P678" s="189"/>
      <c r="Q678" s="160"/>
      <c r="R678" s="160"/>
      <c r="S678" s="160"/>
      <c r="T678" s="160"/>
      <c r="U678" s="160"/>
      <c r="V678" s="160"/>
      <c r="X678" s="160"/>
      <c r="Y678" s="160"/>
      <c r="AA678" s="160"/>
      <c r="AB678" s="160"/>
      <c r="AC678" s="160"/>
      <c r="AD678" s="190"/>
    </row>
    <row r="679" spans="14:30" x14ac:dyDescent="0.3">
      <c r="N679" s="170"/>
      <c r="P679" s="189"/>
      <c r="Q679" s="160"/>
      <c r="R679" s="160"/>
      <c r="S679" s="160"/>
      <c r="T679" s="160"/>
      <c r="U679" s="160"/>
      <c r="V679" s="160"/>
      <c r="X679" s="160"/>
      <c r="Y679" s="160"/>
      <c r="AA679" s="160"/>
      <c r="AB679" s="160"/>
      <c r="AC679" s="160"/>
      <c r="AD679" s="190"/>
    </row>
    <row r="680" spans="14:30" x14ac:dyDescent="0.3">
      <c r="N680" s="170"/>
      <c r="P680" s="189"/>
      <c r="Q680" s="160"/>
      <c r="R680" s="160"/>
      <c r="S680" s="160"/>
      <c r="T680" s="160"/>
      <c r="U680" s="160"/>
      <c r="V680" s="160"/>
      <c r="X680" s="160"/>
      <c r="Y680" s="160"/>
      <c r="AA680" s="160"/>
      <c r="AB680" s="160"/>
      <c r="AC680" s="160"/>
      <c r="AD680" s="190"/>
    </row>
    <row r="681" spans="14:30" x14ac:dyDescent="0.3">
      <c r="N681" s="170"/>
      <c r="P681" s="189"/>
      <c r="Q681" s="160"/>
      <c r="R681" s="160"/>
      <c r="S681" s="160"/>
      <c r="T681" s="160"/>
      <c r="U681" s="160"/>
      <c r="V681" s="160"/>
      <c r="X681" s="160"/>
      <c r="Y681" s="160"/>
      <c r="AA681" s="160"/>
      <c r="AB681" s="160"/>
      <c r="AC681" s="160"/>
      <c r="AD681" s="190"/>
    </row>
    <row r="682" spans="14:30" x14ac:dyDescent="0.3">
      <c r="N682" s="170"/>
      <c r="P682" s="189"/>
      <c r="Q682" s="160"/>
      <c r="R682" s="160"/>
      <c r="S682" s="160"/>
      <c r="T682" s="160"/>
      <c r="U682" s="160"/>
      <c r="V682" s="160"/>
      <c r="X682" s="160"/>
      <c r="Y682" s="160"/>
      <c r="AA682" s="160"/>
      <c r="AB682" s="160"/>
      <c r="AC682" s="160"/>
      <c r="AD682" s="190"/>
    </row>
    <row r="683" spans="14:30" x14ac:dyDescent="0.3">
      <c r="N683" s="170"/>
      <c r="P683" s="189"/>
      <c r="Q683" s="160"/>
      <c r="R683" s="160"/>
      <c r="S683" s="160"/>
      <c r="T683" s="160"/>
      <c r="U683" s="160"/>
      <c r="V683" s="160"/>
      <c r="X683" s="160"/>
      <c r="Y683" s="160"/>
      <c r="AA683" s="160"/>
      <c r="AB683" s="160"/>
      <c r="AC683" s="160"/>
      <c r="AD683" s="190"/>
    </row>
    <row r="684" spans="14:30" x14ac:dyDescent="0.3">
      <c r="N684" s="170"/>
      <c r="P684" s="189"/>
      <c r="Q684" s="160"/>
      <c r="R684" s="160"/>
      <c r="S684" s="160"/>
      <c r="T684" s="160"/>
      <c r="U684" s="160"/>
      <c r="V684" s="160"/>
      <c r="X684" s="160"/>
      <c r="Y684" s="160"/>
      <c r="AA684" s="160"/>
      <c r="AB684" s="160"/>
      <c r="AC684" s="160"/>
      <c r="AD684" s="190"/>
    </row>
    <row r="685" spans="14:30" x14ac:dyDescent="0.3">
      <c r="N685" s="170"/>
      <c r="P685" s="189"/>
      <c r="Q685" s="160"/>
      <c r="R685" s="160"/>
      <c r="S685" s="160"/>
      <c r="T685" s="160"/>
      <c r="U685" s="160"/>
      <c r="V685" s="160"/>
      <c r="X685" s="160"/>
      <c r="Y685" s="160"/>
      <c r="AA685" s="160"/>
      <c r="AB685" s="160"/>
      <c r="AC685" s="160"/>
      <c r="AD685" s="190"/>
    </row>
    <row r="686" spans="14:30" x14ac:dyDescent="0.3">
      <c r="N686" s="170"/>
      <c r="P686" s="189"/>
      <c r="Q686" s="160"/>
      <c r="R686" s="160"/>
      <c r="S686" s="160"/>
      <c r="T686" s="160"/>
      <c r="U686" s="160"/>
      <c r="V686" s="160"/>
      <c r="X686" s="160"/>
      <c r="Y686" s="160"/>
      <c r="AA686" s="160"/>
      <c r="AB686" s="160"/>
      <c r="AC686" s="160"/>
      <c r="AD686" s="190"/>
    </row>
    <row r="687" spans="14:30" x14ac:dyDescent="0.3">
      <c r="N687" s="170"/>
      <c r="P687" s="189"/>
      <c r="Q687" s="160"/>
      <c r="R687" s="160"/>
      <c r="S687" s="160"/>
      <c r="T687" s="160"/>
      <c r="U687" s="160"/>
      <c r="V687" s="160"/>
      <c r="X687" s="160"/>
      <c r="Y687" s="160"/>
      <c r="AA687" s="160"/>
      <c r="AB687" s="160"/>
      <c r="AC687" s="160"/>
      <c r="AD687" s="190"/>
    </row>
    <row r="688" spans="14:30" x14ac:dyDescent="0.3">
      <c r="N688" s="170"/>
      <c r="P688" s="189"/>
      <c r="Q688" s="160"/>
      <c r="R688" s="160"/>
      <c r="S688" s="160"/>
      <c r="T688" s="160"/>
      <c r="U688" s="160"/>
      <c r="V688" s="160"/>
      <c r="X688" s="160"/>
      <c r="Y688" s="160"/>
      <c r="AA688" s="160"/>
      <c r="AB688" s="160"/>
      <c r="AC688" s="160"/>
      <c r="AD688" s="190"/>
    </row>
    <row r="689" spans="14:30" x14ac:dyDescent="0.3">
      <c r="N689" s="170"/>
      <c r="P689" s="189"/>
      <c r="Q689" s="160"/>
      <c r="R689" s="160"/>
      <c r="S689" s="160"/>
      <c r="T689" s="160"/>
      <c r="U689" s="160"/>
      <c r="V689" s="160"/>
      <c r="X689" s="160"/>
      <c r="Y689" s="160"/>
      <c r="AA689" s="160"/>
      <c r="AB689" s="160"/>
      <c r="AC689" s="160"/>
      <c r="AD689" s="190"/>
    </row>
    <row r="690" spans="14:30" x14ac:dyDescent="0.3">
      <c r="N690" s="170"/>
      <c r="P690" s="189"/>
      <c r="Q690" s="160"/>
      <c r="R690" s="160"/>
      <c r="S690" s="160"/>
      <c r="T690" s="160"/>
      <c r="U690" s="160"/>
      <c r="V690" s="160"/>
      <c r="X690" s="160"/>
      <c r="Y690" s="160"/>
      <c r="AA690" s="160"/>
      <c r="AB690" s="160"/>
      <c r="AC690" s="160"/>
      <c r="AD690" s="190"/>
    </row>
    <row r="691" spans="14:30" x14ac:dyDescent="0.3">
      <c r="N691" s="170"/>
      <c r="P691" s="189"/>
      <c r="Q691" s="160"/>
      <c r="R691" s="160"/>
      <c r="S691" s="160"/>
      <c r="T691" s="160"/>
      <c r="U691" s="160"/>
      <c r="V691" s="160"/>
      <c r="X691" s="160"/>
      <c r="Y691" s="160"/>
      <c r="AA691" s="160"/>
      <c r="AB691" s="160"/>
      <c r="AC691" s="160"/>
      <c r="AD691" s="190"/>
    </row>
    <row r="692" spans="14:30" x14ac:dyDescent="0.3">
      <c r="N692" s="170"/>
      <c r="P692" s="189"/>
      <c r="Q692" s="160"/>
      <c r="R692" s="160"/>
      <c r="S692" s="160"/>
      <c r="T692" s="160"/>
      <c r="U692" s="160"/>
      <c r="V692" s="160"/>
      <c r="X692" s="160"/>
      <c r="Y692" s="160"/>
      <c r="AA692" s="160"/>
      <c r="AB692" s="160"/>
      <c r="AC692" s="160"/>
      <c r="AD692" s="190"/>
    </row>
    <row r="693" spans="14:30" x14ac:dyDescent="0.3">
      <c r="N693" s="170"/>
      <c r="P693" s="189"/>
      <c r="Q693" s="160"/>
      <c r="R693" s="160"/>
      <c r="S693" s="160"/>
      <c r="T693" s="160"/>
      <c r="U693" s="160"/>
      <c r="V693" s="160"/>
      <c r="X693" s="160"/>
      <c r="Y693" s="160"/>
      <c r="AA693" s="160"/>
      <c r="AB693" s="160"/>
      <c r="AC693" s="160"/>
      <c r="AD693" s="190"/>
    </row>
    <row r="694" spans="14:30" x14ac:dyDescent="0.3">
      <c r="N694" s="170"/>
      <c r="P694" s="189"/>
      <c r="Q694" s="160"/>
      <c r="R694" s="160"/>
      <c r="S694" s="160"/>
      <c r="T694" s="160"/>
      <c r="U694" s="160"/>
      <c r="V694" s="160"/>
      <c r="X694" s="160"/>
      <c r="Y694" s="160"/>
      <c r="AA694" s="160"/>
      <c r="AB694" s="160"/>
      <c r="AC694" s="160"/>
      <c r="AD694" s="190"/>
    </row>
    <row r="695" spans="14:30" x14ac:dyDescent="0.3">
      <c r="N695" s="170"/>
      <c r="P695" s="189"/>
      <c r="Q695" s="160"/>
      <c r="R695" s="160"/>
      <c r="S695" s="160"/>
      <c r="T695" s="160"/>
      <c r="U695" s="160"/>
      <c r="V695" s="160"/>
      <c r="X695" s="160"/>
      <c r="Y695" s="160"/>
      <c r="AA695" s="160"/>
      <c r="AB695" s="160"/>
      <c r="AC695" s="160"/>
      <c r="AD695" s="190"/>
    </row>
    <row r="696" spans="14:30" x14ac:dyDescent="0.3">
      <c r="N696" s="170"/>
      <c r="P696" s="189"/>
      <c r="Q696" s="160"/>
      <c r="R696" s="160"/>
      <c r="S696" s="160"/>
      <c r="T696" s="160"/>
      <c r="U696" s="160"/>
      <c r="V696" s="160"/>
      <c r="X696" s="160"/>
      <c r="Y696" s="160"/>
      <c r="AA696" s="160"/>
      <c r="AB696" s="160"/>
      <c r="AC696" s="160"/>
      <c r="AD696" s="190"/>
    </row>
    <row r="697" spans="14:30" x14ac:dyDescent="0.3">
      <c r="N697" s="170"/>
      <c r="P697" s="189"/>
      <c r="Q697" s="160"/>
      <c r="R697" s="160"/>
      <c r="S697" s="160"/>
      <c r="T697" s="160"/>
      <c r="U697" s="160"/>
      <c r="V697" s="160"/>
      <c r="X697" s="160"/>
      <c r="Y697" s="160"/>
      <c r="AA697" s="160"/>
      <c r="AB697" s="160"/>
      <c r="AC697" s="160"/>
      <c r="AD697" s="190"/>
    </row>
    <row r="698" spans="14:30" x14ac:dyDescent="0.3">
      <c r="N698" s="170"/>
      <c r="P698" s="189"/>
      <c r="Q698" s="160"/>
      <c r="R698" s="160"/>
      <c r="S698" s="160"/>
      <c r="T698" s="160"/>
      <c r="U698" s="160"/>
      <c r="V698" s="160"/>
      <c r="X698" s="160"/>
      <c r="Y698" s="160"/>
      <c r="AA698" s="160"/>
      <c r="AB698" s="160"/>
      <c r="AC698" s="160"/>
      <c r="AD698" s="190"/>
    </row>
    <row r="699" spans="14:30" x14ac:dyDescent="0.3">
      <c r="N699" s="170"/>
      <c r="P699" s="189"/>
      <c r="Q699" s="160"/>
      <c r="R699" s="160"/>
      <c r="S699" s="160"/>
      <c r="T699" s="160"/>
      <c r="U699" s="160"/>
      <c r="V699" s="160"/>
      <c r="X699" s="160"/>
      <c r="Y699" s="160"/>
      <c r="AA699" s="160"/>
      <c r="AB699" s="160"/>
      <c r="AC699" s="160"/>
      <c r="AD699" s="190"/>
    </row>
    <row r="700" spans="14:30" x14ac:dyDescent="0.3">
      <c r="N700" s="170"/>
      <c r="P700" s="189"/>
      <c r="Q700" s="160"/>
      <c r="R700" s="160"/>
      <c r="S700" s="160"/>
      <c r="T700" s="160"/>
      <c r="U700" s="160"/>
      <c r="V700" s="160"/>
      <c r="X700" s="160"/>
      <c r="Y700" s="160"/>
      <c r="AA700" s="160"/>
      <c r="AB700" s="160"/>
      <c r="AC700" s="160"/>
      <c r="AD700" s="190"/>
    </row>
    <row r="701" spans="14:30" x14ac:dyDescent="0.3">
      <c r="N701" s="170"/>
      <c r="P701" s="189"/>
      <c r="Q701" s="160"/>
      <c r="R701" s="160"/>
      <c r="S701" s="160"/>
      <c r="T701" s="160"/>
      <c r="U701" s="160"/>
      <c r="V701" s="160"/>
      <c r="X701" s="160"/>
      <c r="Y701" s="160"/>
      <c r="AA701" s="160"/>
      <c r="AB701" s="160"/>
      <c r="AC701" s="160"/>
      <c r="AD701" s="190"/>
    </row>
    <row r="702" spans="14:30" x14ac:dyDescent="0.3">
      <c r="N702" s="170"/>
      <c r="P702" s="189"/>
      <c r="Q702" s="160"/>
      <c r="R702" s="160"/>
      <c r="S702" s="160"/>
      <c r="T702" s="160"/>
      <c r="U702" s="160"/>
      <c r="V702" s="160"/>
      <c r="X702" s="160"/>
      <c r="Y702" s="160"/>
      <c r="AA702" s="160"/>
      <c r="AB702" s="160"/>
      <c r="AC702" s="160"/>
      <c r="AD702" s="190"/>
    </row>
    <row r="703" spans="14:30" x14ac:dyDescent="0.3">
      <c r="N703" s="170"/>
      <c r="P703" s="189"/>
      <c r="Q703" s="160"/>
      <c r="R703" s="160"/>
      <c r="S703" s="160"/>
      <c r="T703" s="160"/>
      <c r="U703" s="160"/>
      <c r="V703" s="160"/>
      <c r="X703" s="160"/>
      <c r="Y703" s="160"/>
      <c r="AA703" s="160"/>
      <c r="AB703" s="160"/>
      <c r="AC703" s="160"/>
      <c r="AD703" s="190"/>
    </row>
    <row r="704" spans="14:30" x14ac:dyDescent="0.3">
      <c r="N704" s="170"/>
      <c r="P704" s="189"/>
      <c r="Q704" s="160"/>
      <c r="R704" s="160"/>
      <c r="S704" s="160"/>
      <c r="T704" s="160"/>
      <c r="U704" s="160"/>
      <c r="V704" s="160"/>
      <c r="X704" s="160"/>
      <c r="Y704" s="160"/>
      <c r="AA704" s="160"/>
      <c r="AB704" s="160"/>
      <c r="AC704" s="160"/>
      <c r="AD704" s="190"/>
    </row>
    <row r="705" spans="14:30" x14ac:dyDescent="0.3">
      <c r="N705" s="170"/>
      <c r="P705" s="189"/>
      <c r="Q705" s="160"/>
      <c r="R705" s="160"/>
      <c r="S705" s="160"/>
      <c r="T705" s="160"/>
      <c r="U705" s="160"/>
      <c r="V705" s="160"/>
      <c r="X705" s="160"/>
      <c r="Y705" s="160"/>
      <c r="AA705" s="160"/>
      <c r="AB705" s="160"/>
      <c r="AC705" s="160"/>
      <c r="AD705" s="190"/>
    </row>
    <row r="706" spans="14:30" x14ac:dyDescent="0.3">
      <c r="N706" s="170"/>
      <c r="P706" s="189"/>
      <c r="Q706" s="160"/>
      <c r="R706" s="160"/>
      <c r="S706" s="160"/>
      <c r="T706" s="160"/>
      <c r="U706" s="160"/>
      <c r="V706" s="160"/>
      <c r="X706" s="160"/>
      <c r="Y706" s="160"/>
      <c r="AA706" s="160"/>
      <c r="AB706" s="160"/>
      <c r="AC706" s="160"/>
      <c r="AD706" s="190"/>
    </row>
    <row r="707" spans="14:30" x14ac:dyDescent="0.3">
      <c r="N707" s="170"/>
      <c r="P707" s="189"/>
      <c r="Q707" s="160"/>
      <c r="R707" s="160"/>
      <c r="S707" s="160"/>
      <c r="T707" s="160"/>
      <c r="U707" s="160"/>
      <c r="V707" s="160"/>
      <c r="X707" s="160"/>
      <c r="Y707" s="160"/>
      <c r="AA707" s="160"/>
      <c r="AB707" s="160"/>
      <c r="AC707" s="160"/>
      <c r="AD707" s="190"/>
    </row>
    <row r="708" spans="14:30" x14ac:dyDescent="0.3">
      <c r="N708" s="170"/>
      <c r="P708" s="189"/>
      <c r="Q708" s="160"/>
      <c r="R708" s="160"/>
      <c r="S708" s="160"/>
      <c r="T708" s="160"/>
      <c r="U708" s="160"/>
      <c r="V708" s="160"/>
      <c r="X708" s="160"/>
      <c r="Y708" s="160"/>
      <c r="AA708" s="160"/>
      <c r="AB708" s="160"/>
      <c r="AC708" s="160"/>
      <c r="AD708" s="190"/>
    </row>
  </sheetData>
  <mergeCells count="29">
    <mergeCell ref="A1:M1"/>
    <mergeCell ref="E6:K6"/>
    <mergeCell ref="Q17:S17"/>
    <mergeCell ref="T17:V17"/>
    <mergeCell ref="W17:Y17"/>
    <mergeCell ref="P16:AE16"/>
    <mergeCell ref="Z17:AB17"/>
    <mergeCell ref="N1:X1"/>
    <mergeCell ref="P4:AE4"/>
    <mergeCell ref="AF4:AR4"/>
    <mergeCell ref="AS4:AU4"/>
    <mergeCell ref="Q5:S5"/>
    <mergeCell ref="T5:V5"/>
    <mergeCell ref="W5:Y5"/>
    <mergeCell ref="Z5:AB5"/>
    <mergeCell ref="AC5:AE5"/>
    <mergeCell ref="AG5:AI5"/>
    <mergeCell ref="AJ5:AL5"/>
    <mergeCell ref="AM5:AO5"/>
    <mergeCell ref="AP5:AR5"/>
    <mergeCell ref="AS5:AU5"/>
    <mergeCell ref="AP17:AR17"/>
    <mergeCell ref="AC17:AE17"/>
    <mergeCell ref="AS16:AU16"/>
    <mergeCell ref="AS17:AU17"/>
    <mergeCell ref="AG17:AI17"/>
    <mergeCell ref="AJ17:AL17"/>
    <mergeCell ref="AM17:AO17"/>
    <mergeCell ref="AF16:AR16"/>
  </mergeCells>
  <phoneticPr fontId="44" type="noConversion"/>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I53"/>
  <sheetViews>
    <sheetView zoomScale="70" zoomScaleNormal="70" workbookViewId="0">
      <selection activeCell="B51" sqref="B51"/>
    </sheetView>
  </sheetViews>
  <sheetFormatPr defaultRowHeight="15" x14ac:dyDescent="0.3"/>
  <cols>
    <col min="1" max="1" width="26.75" customWidth="1"/>
    <col min="2" max="2" width="25.625" customWidth="1"/>
    <col min="3" max="3" width="10.125" customWidth="1"/>
  </cols>
  <sheetData>
    <row r="1" spans="1:9" ht="28.2" x14ac:dyDescent="0.5">
      <c r="A1" s="229" t="s">
        <v>80</v>
      </c>
      <c r="B1" s="229"/>
      <c r="C1" s="229"/>
      <c r="D1" s="229"/>
      <c r="E1" s="229"/>
      <c r="F1" s="229"/>
      <c r="G1" s="229"/>
      <c r="H1" s="229"/>
      <c r="I1" s="229"/>
    </row>
    <row r="2" spans="1:9" x14ac:dyDescent="0.3">
      <c r="A2" s="5"/>
      <c r="B2" s="5" t="s">
        <v>16</v>
      </c>
      <c r="C2" s="6"/>
      <c r="D2" s="4"/>
      <c r="E2" s="5"/>
      <c r="F2" s="5"/>
      <c r="G2" s="5"/>
      <c r="H2" s="5"/>
      <c r="I2" s="5"/>
    </row>
    <row r="3" spans="1:9" x14ac:dyDescent="0.3">
      <c r="A3" s="5"/>
      <c r="B3" s="5" t="s">
        <v>17</v>
      </c>
      <c r="C3" s="7"/>
      <c r="D3" s="4"/>
      <c r="E3" s="5"/>
      <c r="F3" s="5"/>
      <c r="G3" s="5"/>
      <c r="H3" s="5"/>
      <c r="I3" s="5"/>
    </row>
    <row r="4" spans="1:9" x14ac:dyDescent="0.3">
      <c r="A4" s="5"/>
      <c r="B4" s="5" t="s">
        <v>18</v>
      </c>
      <c r="C4" s="8"/>
      <c r="D4" s="4"/>
      <c r="E4" s="5"/>
      <c r="F4" s="5"/>
      <c r="G4" s="5"/>
      <c r="H4" s="5"/>
      <c r="I4" s="5"/>
    </row>
    <row r="5" spans="1:9" x14ac:dyDescent="0.3">
      <c r="A5" s="9" t="s">
        <v>19</v>
      </c>
      <c r="B5" s="9" t="s">
        <v>20</v>
      </c>
      <c r="C5" s="9" t="s">
        <v>21</v>
      </c>
      <c r="D5" s="4"/>
      <c r="E5" s="230" t="s">
        <v>22</v>
      </c>
      <c r="F5" s="230"/>
      <c r="G5" s="230"/>
      <c r="H5" s="230"/>
      <c r="I5" s="9"/>
    </row>
    <row r="6" spans="1:9" x14ac:dyDescent="0.3">
      <c r="A6" s="9"/>
      <c r="B6" s="9"/>
      <c r="C6" s="9"/>
      <c r="D6" s="4"/>
      <c r="E6" s="5"/>
      <c r="F6" s="5"/>
      <c r="G6" s="5"/>
      <c r="H6" s="5"/>
      <c r="I6" s="9"/>
    </row>
    <row r="7" spans="1:9" x14ac:dyDescent="0.3">
      <c r="A7" s="9" t="s">
        <v>58</v>
      </c>
      <c r="B7" s="9"/>
      <c r="C7" s="9"/>
      <c r="D7" s="4"/>
      <c r="E7" s="5"/>
      <c r="F7" s="5"/>
      <c r="G7" s="5"/>
      <c r="H7" s="5"/>
      <c r="I7" s="9"/>
    </row>
    <row r="8" spans="1:9" x14ac:dyDescent="0.3">
      <c r="A8" s="9"/>
      <c r="B8" s="9"/>
      <c r="C8" s="9"/>
      <c r="D8" s="4"/>
      <c r="E8" s="5"/>
      <c r="F8" s="5"/>
      <c r="G8" s="5"/>
      <c r="H8" s="5"/>
      <c r="I8" s="9"/>
    </row>
    <row r="9" spans="1:9" x14ac:dyDescent="0.3">
      <c r="A9" t="s">
        <v>47</v>
      </c>
      <c r="B9" s="12">
        <v>0.8</v>
      </c>
      <c r="D9" t="s">
        <v>50</v>
      </c>
    </row>
    <row r="10" spans="1:9" x14ac:dyDescent="0.3">
      <c r="A10" t="s">
        <v>51</v>
      </c>
      <c r="B10" s="13">
        <f>(1-B9)/(2.2*10^6)</f>
        <v>9.0909090909090888E-8</v>
      </c>
      <c r="C10" t="s">
        <v>54</v>
      </c>
      <c r="D10" t="s">
        <v>57</v>
      </c>
    </row>
    <row r="11" spans="1:9" x14ac:dyDescent="0.3">
      <c r="A11" t="s">
        <v>48</v>
      </c>
      <c r="B11" s="12">
        <v>0.85</v>
      </c>
      <c r="D11" t="s">
        <v>50</v>
      </c>
    </row>
    <row r="12" spans="1:9" x14ac:dyDescent="0.3">
      <c r="A12" t="s">
        <v>52</v>
      </c>
      <c r="B12" s="13">
        <f>(1-B11)/(2.2*10^6)</f>
        <v>6.8181818181818186E-8</v>
      </c>
      <c r="C12" t="s">
        <v>54</v>
      </c>
      <c r="D12" t="s">
        <v>56</v>
      </c>
    </row>
    <row r="13" spans="1:9" x14ac:dyDescent="0.3">
      <c r="A13" t="s">
        <v>49</v>
      </c>
      <c r="B13" s="12">
        <v>0.9</v>
      </c>
      <c r="D13" t="s">
        <v>50</v>
      </c>
    </row>
    <row r="14" spans="1:9" x14ac:dyDescent="0.3">
      <c r="A14" t="s">
        <v>53</v>
      </c>
      <c r="B14" s="13">
        <f>(1-B13)/(2.2*10^6)</f>
        <v>4.5454545454545444E-8</v>
      </c>
      <c r="C14" t="s">
        <v>54</v>
      </c>
      <c r="D14" t="s">
        <v>55</v>
      </c>
    </row>
    <row r="16" spans="1:9" x14ac:dyDescent="0.3">
      <c r="A16" t="s">
        <v>59</v>
      </c>
      <c r="B16" s="12">
        <v>0.9</v>
      </c>
      <c r="D16" t="s">
        <v>65</v>
      </c>
    </row>
    <row r="17" spans="1:4" x14ac:dyDescent="0.3">
      <c r="A17" t="s">
        <v>60</v>
      </c>
      <c r="B17" s="12">
        <v>0.93</v>
      </c>
      <c r="D17" t="s">
        <v>62</v>
      </c>
    </row>
    <row r="18" spans="1:4" x14ac:dyDescent="0.3">
      <c r="A18" t="s">
        <v>61</v>
      </c>
      <c r="B18" s="12">
        <v>0.96</v>
      </c>
      <c r="D18" t="s">
        <v>66</v>
      </c>
    </row>
    <row r="19" spans="1:4" x14ac:dyDescent="0.3">
      <c r="B19">
        <f>IF(((1-D_limit_nom)/Constants!B12)&lt;Fsw,2,1)</f>
        <v>1</v>
      </c>
      <c r="D19" t="s">
        <v>72</v>
      </c>
    </row>
    <row r="20" spans="1:4" x14ac:dyDescent="0.3">
      <c r="A20" t="s">
        <v>78</v>
      </c>
      <c r="B20" s="1">
        <f>CHOOSE(B19,D_limit_nom,(1-Constants!B12*Fsw))</f>
        <v>0.93</v>
      </c>
      <c r="D20" t="s">
        <v>79</v>
      </c>
    </row>
    <row r="22" spans="1:4" x14ac:dyDescent="0.3">
      <c r="A22" t="s">
        <v>88</v>
      </c>
      <c r="B22" s="12">
        <f>50*10^-9</f>
        <v>5.0000000000000004E-8</v>
      </c>
      <c r="C22" t="s">
        <v>54</v>
      </c>
      <c r="D22" t="s">
        <v>89</v>
      </c>
    </row>
    <row r="23" spans="1:4" x14ac:dyDescent="0.3">
      <c r="B23" s="12"/>
    </row>
    <row r="24" spans="1:4" ht="16.2" x14ac:dyDescent="0.3">
      <c r="A24" s="29" t="s">
        <v>171</v>
      </c>
    </row>
    <row r="25" spans="1:4" x14ac:dyDescent="0.3">
      <c r="A25" t="s">
        <v>144</v>
      </c>
      <c r="B25" s="12">
        <f>30*10^-6</f>
        <v>2.9999999999999997E-5</v>
      </c>
      <c r="C25" t="s">
        <v>11</v>
      </c>
      <c r="D25" t="s">
        <v>145</v>
      </c>
    </row>
    <row r="26" spans="1:4" x14ac:dyDescent="0.3">
      <c r="A26" t="s">
        <v>146</v>
      </c>
      <c r="B26" s="12">
        <v>1333</v>
      </c>
      <c r="C26" s="2" t="s">
        <v>36</v>
      </c>
      <c r="D26" t="s">
        <v>147</v>
      </c>
    </row>
    <row r="27" spans="1:4" x14ac:dyDescent="0.3">
      <c r="A27" t="s">
        <v>150</v>
      </c>
      <c r="B27" s="12">
        <f>0.1</f>
        <v>0.1</v>
      </c>
      <c r="C27" s="2" t="s">
        <v>10</v>
      </c>
      <c r="D27" t="s">
        <v>151</v>
      </c>
    </row>
    <row r="28" spans="1:4" x14ac:dyDescent="0.3">
      <c r="A28" t="s">
        <v>520</v>
      </c>
      <c r="B28" s="12">
        <v>2000</v>
      </c>
      <c r="C28" s="2" t="s">
        <v>36</v>
      </c>
      <c r="D28" t="s">
        <v>521</v>
      </c>
    </row>
    <row r="29" spans="1:4" x14ac:dyDescent="0.3">
      <c r="A29" t="s">
        <v>236</v>
      </c>
      <c r="B29" s="12">
        <f>0.145</f>
        <v>0.14499999999999999</v>
      </c>
      <c r="C29" t="s">
        <v>180</v>
      </c>
      <c r="D29" t="s">
        <v>238</v>
      </c>
    </row>
    <row r="30" spans="1:4" x14ac:dyDescent="0.3">
      <c r="A30" t="s">
        <v>240</v>
      </c>
      <c r="B30" s="12">
        <v>1</v>
      </c>
      <c r="C30" t="s">
        <v>180</v>
      </c>
      <c r="D30" t="s">
        <v>241</v>
      </c>
    </row>
    <row r="32" spans="1:4" x14ac:dyDescent="0.3">
      <c r="A32" s="33" t="s">
        <v>261</v>
      </c>
    </row>
    <row r="33" spans="1:4" x14ac:dyDescent="0.3">
      <c r="A33" t="s">
        <v>282</v>
      </c>
      <c r="B33">
        <v>1</v>
      </c>
      <c r="C33" t="s">
        <v>10</v>
      </c>
      <c r="D33" t="s">
        <v>283</v>
      </c>
    </row>
    <row r="34" spans="1:4" x14ac:dyDescent="0.3">
      <c r="A34" t="s">
        <v>265</v>
      </c>
      <c r="B34">
        <f>(2*10^-3)/1</f>
        <v>2E-3</v>
      </c>
      <c r="C34" t="s">
        <v>267</v>
      </c>
      <c r="D34" t="s">
        <v>266</v>
      </c>
    </row>
    <row r="36" spans="1:4" x14ac:dyDescent="0.3">
      <c r="A36" s="33" t="s">
        <v>334</v>
      </c>
    </row>
    <row r="37" spans="1:4" x14ac:dyDescent="0.3">
      <c r="A37" t="s">
        <v>335</v>
      </c>
      <c r="B37">
        <f>10*10^-6</f>
        <v>9.9999999999999991E-6</v>
      </c>
      <c r="C37" t="s">
        <v>11</v>
      </c>
      <c r="D37" t="s">
        <v>336</v>
      </c>
    </row>
    <row r="39" spans="1:4" x14ac:dyDescent="0.3">
      <c r="A39" s="33" t="s">
        <v>355</v>
      </c>
    </row>
    <row r="40" spans="1:4" x14ac:dyDescent="0.3">
      <c r="A40" t="s">
        <v>356</v>
      </c>
      <c r="B40">
        <v>1.5</v>
      </c>
      <c r="C40" t="s">
        <v>10</v>
      </c>
      <c r="D40" t="s">
        <v>359</v>
      </c>
    </row>
    <row r="41" spans="1:4" x14ac:dyDescent="0.3">
      <c r="A41" t="s">
        <v>357</v>
      </c>
      <c r="B41">
        <v>1.45</v>
      </c>
      <c r="C41" t="s">
        <v>10</v>
      </c>
      <c r="D41" t="s">
        <v>358</v>
      </c>
    </row>
    <row r="42" spans="1:4" x14ac:dyDescent="0.3">
      <c r="A42" t="s">
        <v>362</v>
      </c>
      <c r="B42">
        <f>5*10^-6</f>
        <v>4.9999999999999996E-6</v>
      </c>
      <c r="C42" t="s">
        <v>11</v>
      </c>
      <c r="D42" t="s">
        <v>363</v>
      </c>
    </row>
    <row r="44" spans="1:4" x14ac:dyDescent="0.3">
      <c r="A44" s="33" t="s">
        <v>420</v>
      </c>
    </row>
    <row r="45" spans="1:4" x14ac:dyDescent="0.3">
      <c r="A45" t="s">
        <v>421</v>
      </c>
      <c r="B45">
        <v>6.75</v>
      </c>
      <c r="C45" t="s">
        <v>10</v>
      </c>
      <c r="D45" t="s">
        <v>422</v>
      </c>
    </row>
    <row r="47" spans="1:4" x14ac:dyDescent="0.3">
      <c r="A47" s="33" t="s">
        <v>439</v>
      </c>
    </row>
    <row r="48" spans="1:4" x14ac:dyDescent="0.3">
      <c r="A48" t="s">
        <v>440</v>
      </c>
      <c r="B48">
        <f>450*(10^-6)</f>
        <v>4.4999999999999999E-4</v>
      </c>
      <c r="C48" t="s">
        <v>11</v>
      </c>
      <c r="D48" t="s">
        <v>441</v>
      </c>
    </row>
    <row r="50" spans="1:4" x14ac:dyDescent="0.3">
      <c r="A50" t="s">
        <v>481</v>
      </c>
    </row>
    <row r="51" spans="1:4" x14ac:dyDescent="0.3">
      <c r="A51" t="s">
        <v>482</v>
      </c>
      <c r="B51">
        <v>1.5</v>
      </c>
      <c r="C51" t="s">
        <v>10</v>
      </c>
      <c r="D51" t="s">
        <v>483</v>
      </c>
    </row>
    <row r="52" spans="1:4" x14ac:dyDescent="0.3">
      <c r="A52" t="s">
        <v>485</v>
      </c>
      <c r="B52">
        <v>45</v>
      </c>
      <c r="C52" t="s">
        <v>10</v>
      </c>
      <c r="D52" t="s">
        <v>484</v>
      </c>
    </row>
    <row r="53" spans="1:4" x14ac:dyDescent="0.3">
      <c r="A53" t="s">
        <v>580</v>
      </c>
      <c r="B53">
        <v>60</v>
      </c>
      <c r="C53" t="s">
        <v>10</v>
      </c>
      <c r="D53" t="s">
        <v>581</v>
      </c>
    </row>
  </sheetData>
  <mergeCells count="2">
    <mergeCell ref="A1:I1"/>
    <mergeCell ref="E5:H5"/>
  </mergeCells>
  <phoneticPr fontId="44"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B2:B3"/>
  <sheetViews>
    <sheetView topLeftCell="B1" zoomScale="70" zoomScaleNormal="70" workbookViewId="0">
      <selection activeCell="E3" sqref="E3"/>
    </sheetView>
  </sheetViews>
  <sheetFormatPr defaultRowHeight="15" x14ac:dyDescent="0.3"/>
  <cols>
    <col min="3" max="3" width="144.75" customWidth="1"/>
  </cols>
  <sheetData>
    <row r="2" spans="2:2" x14ac:dyDescent="0.3">
      <c r="B2" t="str">
        <f>"Eff_vs_IOUT"</f>
        <v>Eff_vs_IOUT</v>
      </c>
    </row>
    <row r="3" spans="2:2" ht="379.95" customHeight="1" x14ac:dyDescent="0.3"/>
  </sheetData>
  <phoneticPr fontId="44" type="noConversion"/>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A4"/>
  <sheetViews>
    <sheetView workbookViewId="0">
      <selection activeCell="A2" sqref="A2"/>
    </sheetView>
  </sheetViews>
  <sheetFormatPr defaultRowHeight="15" x14ac:dyDescent="0.3"/>
  <cols>
    <col min="2" max="2" width="76.125" customWidth="1"/>
  </cols>
  <sheetData>
    <row r="1" spans="1:1" x14ac:dyDescent="0.3">
      <c r="A1" t="str">
        <f>IF('Design Converter'!H7&gt;=3,"SCH_1","SCH_2")</f>
        <v>SCH_1</v>
      </c>
    </row>
    <row r="2" spans="1:1" ht="267.60000000000002" customHeight="1" x14ac:dyDescent="0.3"/>
    <row r="4" spans="1:1" ht="267.60000000000002" customHeight="1" x14ac:dyDescent="0.3"/>
  </sheetData>
  <phoneticPr fontId="44" type="noConversion"/>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2:D11"/>
  <sheetViews>
    <sheetView workbookViewId="0">
      <selection activeCell="D20" sqref="D20"/>
    </sheetView>
  </sheetViews>
  <sheetFormatPr defaultRowHeight="15" x14ac:dyDescent="0.3"/>
  <sheetData>
    <row r="2" spans="1:4" x14ac:dyDescent="0.3">
      <c r="A2" t="s">
        <v>458</v>
      </c>
    </row>
    <row r="3" spans="1:4" x14ac:dyDescent="0.3">
      <c r="B3" s="47">
        <f>VIN_min</f>
        <v>37</v>
      </c>
    </row>
    <row r="4" spans="1:4" x14ac:dyDescent="0.3">
      <c r="B4" s="221">
        <f>VIN_nom</f>
        <v>45</v>
      </c>
      <c r="D4">
        <v>2.5</v>
      </c>
    </row>
    <row r="5" spans="1:4" x14ac:dyDescent="0.3">
      <c r="B5" s="222">
        <f>VIN_max</f>
        <v>57</v>
      </c>
    </row>
    <row r="8" spans="1:4" x14ac:dyDescent="0.3">
      <c r="A8" t="s">
        <v>552</v>
      </c>
    </row>
    <row r="9" spans="1:4" x14ac:dyDescent="0.3">
      <c r="B9" s="47" t="s">
        <v>495</v>
      </c>
    </row>
    <row r="10" spans="1:4" x14ac:dyDescent="0.3">
      <c r="B10" s="221" t="s">
        <v>496</v>
      </c>
    </row>
    <row r="11" spans="1:4" x14ac:dyDescent="0.3">
      <c r="B11" s="222"/>
    </row>
  </sheetData>
  <phoneticPr fontId="44" type="noConversion"/>
  <dataValidations count="3">
    <dataValidation type="list" allowBlank="1" showInputMessage="1" showErrorMessage="1" sqref="D4" xr:uid="{00000000-0002-0000-0700-000000000000}">
      <formula1>$B$3:$B$5</formula1>
    </dataValidation>
    <dataValidation type="decimal" allowBlank="1" showInputMessage="1" showErrorMessage="1" sqref="F4" xr:uid="{00000000-0002-0000-0700-000001000000}">
      <formula1>B3</formula1>
      <formula2>B5</formula2>
    </dataValidation>
    <dataValidation type="list" showDropDown="1" showInputMessage="1" showErrorMessage="1" sqref="I15" xr:uid="{00000000-0002-0000-0700-000002000000}">
      <formula1>$B$3:$B$5</formula1>
    </dataValidation>
  </dataValidation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5DCCB-1154-4E1B-AC0A-91A88D9D073F}">
  <sheetPr codeName="Sheet9"/>
  <dimension ref="A1:AM47"/>
  <sheetViews>
    <sheetView showGridLines="0" showRowColHeaders="0" zoomScaleNormal="100" workbookViewId="0">
      <selection activeCell="B5" sqref="B5"/>
    </sheetView>
  </sheetViews>
  <sheetFormatPr defaultColWidth="9.125" defaultRowHeight="13.8" x14ac:dyDescent="0.25"/>
  <cols>
    <col min="1" max="1" width="25.75" style="150" bestFit="1" customWidth="1"/>
    <col min="2" max="2" width="56.625" style="151" customWidth="1"/>
    <col min="3" max="11" width="9.125" style="144"/>
    <col min="12" max="12" width="20.375" style="144" customWidth="1"/>
    <col min="13" max="16384" width="9.125" style="144"/>
  </cols>
  <sheetData>
    <row r="1" spans="1:12" x14ac:dyDescent="0.25">
      <c r="A1" s="246"/>
      <c r="B1" s="246"/>
      <c r="C1" s="246"/>
      <c r="D1" s="246"/>
      <c r="E1" s="246"/>
      <c r="F1" s="246"/>
      <c r="G1" s="246"/>
      <c r="H1" s="246"/>
      <c r="I1" s="246"/>
      <c r="J1" s="246"/>
      <c r="K1" s="246"/>
      <c r="L1" s="246"/>
    </row>
    <row r="2" spans="1:12" x14ac:dyDescent="0.25">
      <c r="A2" s="246"/>
      <c r="B2" s="246"/>
      <c r="C2" s="246"/>
      <c r="D2" s="246"/>
      <c r="E2" s="246"/>
      <c r="F2" s="246"/>
      <c r="G2" s="246"/>
      <c r="H2" s="246"/>
      <c r="I2" s="246"/>
      <c r="J2" s="246"/>
      <c r="K2" s="246"/>
      <c r="L2" s="246"/>
    </row>
    <row r="3" spans="1:12" x14ac:dyDescent="0.25">
      <c r="A3" s="246"/>
      <c r="B3" s="246"/>
      <c r="C3" s="246"/>
      <c r="D3" s="246"/>
      <c r="E3" s="246"/>
      <c r="F3" s="246"/>
      <c r="G3" s="246"/>
      <c r="H3" s="246"/>
      <c r="I3" s="246"/>
      <c r="J3" s="246"/>
      <c r="K3" s="246"/>
      <c r="L3" s="246"/>
    </row>
    <row r="4" spans="1:12" ht="12.75" customHeight="1" x14ac:dyDescent="0.25">
      <c r="A4" s="247"/>
      <c r="B4" s="247"/>
      <c r="C4" s="247"/>
      <c r="D4" s="247"/>
      <c r="E4" s="247"/>
      <c r="F4" s="247"/>
      <c r="G4" s="247"/>
      <c r="H4" s="247"/>
      <c r="I4" s="247"/>
      <c r="J4" s="247"/>
      <c r="K4" s="247"/>
      <c r="L4" s="247"/>
    </row>
    <row r="5" spans="1:12" x14ac:dyDescent="0.25">
      <c r="A5" s="145" t="s">
        <v>523</v>
      </c>
      <c r="B5" s="157" t="s">
        <v>575</v>
      </c>
      <c r="C5" s="147"/>
      <c r="D5" s="147"/>
      <c r="E5" s="147"/>
      <c r="F5" s="147"/>
      <c r="G5" s="147"/>
      <c r="H5" s="147"/>
      <c r="I5" s="147"/>
      <c r="J5" s="147"/>
      <c r="K5" s="148"/>
      <c r="L5" s="149"/>
    </row>
    <row r="6" spans="1:12" x14ac:dyDescent="0.25">
      <c r="A6" s="145"/>
      <c r="B6" s="146"/>
      <c r="C6" s="147"/>
      <c r="D6" s="147"/>
      <c r="E6" s="147"/>
      <c r="F6" s="147"/>
      <c r="G6" s="147"/>
      <c r="H6" s="147"/>
      <c r="I6" s="147"/>
      <c r="J6" s="149"/>
      <c r="K6" s="149"/>
      <c r="L6" s="149"/>
    </row>
    <row r="35" spans="1:39" x14ac:dyDescent="0.25">
      <c r="A35" s="152" t="s">
        <v>525</v>
      </c>
      <c r="B35" s="153"/>
      <c r="C35" s="147"/>
      <c r="D35" s="147"/>
      <c r="E35" s="147"/>
      <c r="F35" s="147"/>
      <c r="G35" s="147"/>
      <c r="H35" s="147"/>
      <c r="I35" s="147"/>
      <c r="J35" s="147"/>
      <c r="K35" s="147"/>
    </row>
    <row r="36" spans="1:39" x14ac:dyDescent="0.25">
      <c r="A36" s="154" t="s">
        <v>526</v>
      </c>
      <c r="B36" s="248" t="s">
        <v>527</v>
      </c>
      <c r="C36" s="248"/>
      <c r="D36" s="248"/>
      <c r="E36" s="248"/>
      <c r="F36" s="248"/>
      <c r="G36" s="248"/>
      <c r="H36" s="248"/>
      <c r="I36" s="248"/>
      <c r="J36" s="248"/>
      <c r="K36" s="248"/>
    </row>
    <row r="37" spans="1:39" x14ac:dyDescent="0.25">
      <c r="A37" s="152" t="s">
        <v>524</v>
      </c>
      <c r="B37" s="249" t="s">
        <v>528</v>
      </c>
      <c r="C37" s="249"/>
      <c r="D37" s="249"/>
      <c r="E37" s="249"/>
      <c r="F37" s="249"/>
      <c r="G37" s="249"/>
      <c r="H37" s="249"/>
      <c r="I37" s="249"/>
      <c r="J37" s="249"/>
      <c r="K37" s="249"/>
    </row>
    <row r="38" spans="1:39" ht="14.25" customHeight="1" x14ac:dyDescent="0.25">
      <c r="A38" s="156" t="s">
        <v>531</v>
      </c>
      <c r="B38" s="250" t="s">
        <v>532</v>
      </c>
      <c r="C38" s="250"/>
      <c r="D38" s="250"/>
      <c r="E38" s="250"/>
      <c r="F38" s="250"/>
      <c r="G38" s="250"/>
      <c r="H38" s="250"/>
      <c r="I38" s="250"/>
      <c r="J38" s="250"/>
      <c r="K38" s="250"/>
    </row>
    <row r="39" spans="1:39" ht="14.25" customHeight="1" x14ac:dyDescent="0.25">
      <c r="A39" s="156" t="s">
        <v>575</v>
      </c>
      <c r="B39" s="226" t="s">
        <v>576</v>
      </c>
      <c r="C39" s="226"/>
      <c r="D39" s="226"/>
      <c r="E39" s="226"/>
      <c r="F39" s="226"/>
      <c r="G39" s="226"/>
      <c r="H39" s="226"/>
      <c r="I39" s="226"/>
      <c r="J39" s="226"/>
      <c r="K39" s="226"/>
    </row>
    <row r="40" spans="1:39" ht="14.25" customHeight="1" x14ac:dyDescent="0.25">
      <c r="A40" s="156"/>
      <c r="B40" s="226"/>
      <c r="C40" s="226"/>
      <c r="D40" s="226"/>
      <c r="E40" s="226"/>
      <c r="F40" s="226"/>
      <c r="G40" s="226"/>
      <c r="H40" s="226"/>
      <c r="I40" s="226"/>
      <c r="J40" s="226"/>
      <c r="K40" s="226"/>
    </row>
    <row r="41" spans="1:39" ht="14.25" customHeight="1" x14ac:dyDescent="0.25">
      <c r="A41" s="156"/>
      <c r="B41" s="226"/>
      <c r="C41" s="226"/>
      <c r="D41" s="226"/>
      <c r="E41" s="226"/>
      <c r="F41" s="226"/>
      <c r="G41" s="226"/>
      <c r="H41" s="226"/>
      <c r="I41" s="226"/>
      <c r="J41" s="226"/>
      <c r="K41" s="226"/>
    </row>
    <row r="42" spans="1:39" x14ac:dyDescent="0.25">
      <c r="A42" s="156"/>
      <c r="B42" s="226"/>
      <c r="C42" s="226"/>
      <c r="D42" s="226"/>
      <c r="E42" s="226"/>
      <c r="F42" s="226"/>
      <c r="G42" s="226"/>
      <c r="H42" s="226"/>
      <c r="I42" s="226"/>
      <c r="J42" s="226"/>
      <c r="K42" s="226"/>
    </row>
    <row r="43" spans="1:39" x14ac:dyDescent="0.25">
      <c r="A43" s="156"/>
      <c r="B43" s="226"/>
      <c r="C43" s="226"/>
      <c r="D43" s="226"/>
      <c r="E43" s="226"/>
      <c r="F43" s="226"/>
      <c r="G43" s="226"/>
      <c r="H43" s="226"/>
      <c r="I43" s="226"/>
      <c r="J43" s="226"/>
      <c r="K43" s="226"/>
    </row>
    <row r="44" spans="1:39" x14ac:dyDescent="0.25">
      <c r="A44" s="156"/>
      <c r="B44" s="226"/>
      <c r="C44" s="226"/>
      <c r="D44" s="226"/>
      <c r="E44" s="226"/>
      <c r="F44" s="226"/>
      <c r="G44" s="226"/>
      <c r="H44" s="226"/>
      <c r="I44" s="226"/>
      <c r="J44" s="226"/>
      <c r="K44" s="226"/>
      <c r="L44" s="155"/>
      <c r="M44" s="155"/>
      <c r="N44" s="155"/>
      <c r="O44" s="155"/>
      <c r="P44" s="155"/>
      <c r="Q44" s="155"/>
      <c r="R44" s="155"/>
      <c r="S44" s="155"/>
      <c r="T44" s="155"/>
      <c r="U44" s="155"/>
      <c r="V44" s="155"/>
      <c r="W44" s="155"/>
      <c r="X44" s="155"/>
      <c r="Y44" s="155"/>
      <c r="Z44" s="155"/>
      <c r="AA44" s="155"/>
      <c r="AB44" s="155"/>
      <c r="AC44" s="155"/>
      <c r="AD44" s="155"/>
      <c r="AE44" s="155"/>
      <c r="AF44" s="155"/>
      <c r="AG44" s="155"/>
      <c r="AH44" s="155"/>
      <c r="AI44" s="155"/>
      <c r="AJ44" s="155"/>
      <c r="AK44" s="155"/>
      <c r="AL44" s="155"/>
      <c r="AM44" s="155"/>
    </row>
    <row r="45" spans="1:39" x14ac:dyDescent="0.25">
      <c r="A45" s="156"/>
      <c r="B45" s="226"/>
      <c r="C45" s="226"/>
      <c r="D45" s="226"/>
      <c r="E45" s="226"/>
      <c r="F45" s="226"/>
      <c r="G45" s="226"/>
      <c r="H45" s="226"/>
      <c r="I45" s="226"/>
      <c r="J45" s="226"/>
      <c r="K45" s="226"/>
    </row>
    <row r="46" spans="1:39" x14ac:dyDescent="0.25">
      <c r="A46" s="156"/>
      <c r="B46" s="226"/>
      <c r="C46" s="226"/>
      <c r="D46" s="226"/>
      <c r="E46" s="226"/>
      <c r="F46" s="226"/>
      <c r="G46" s="226"/>
      <c r="H46" s="226"/>
      <c r="I46" s="226"/>
      <c r="J46" s="226"/>
      <c r="K46" s="226"/>
    </row>
    <row r="47" spans="1:39" x14ac:dyDescent="0.25">
      <c r="A47" s="156"/>
      <c r="B47" s="226"/>
    </row>
  </sheetData>
  <sheetProtection algorithmName="SHA-512" hashValue="w01gbvbP5UAcO48uUSPEcM42DLQN7csQvCqJuiQNlT2ekF2fq5jE6wMXzUF2sGQQxMvVP9g7SkV1wWRVLYe5KQ==" saltValue="LTIZtgTeeFd21Qi1VHycQA==" spinCount="100000" sheet="1" objects="1" scenarios="1" selectLockedCells="1" selectUnlockedCells="1"/>
  <mergeCells count="5">
    <mergeCell ref="A1:L3"/>
    <mergeCell ref="A4:L4"/>
    <mergeCell ref="B36:K36"/>
    <mergeCell ref="B37:K37"/>
    <mergeCell ref="B38:K38"/>
  </mergeCells>
  <phoneticPr fontId="44" type="noConversion"/>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10</vt:i4>
      </vt:variant>
      <vt:variant>
        <vt:lpstr>具名範圍</vt:lpstr>
      </vt:variant>
      <vt:variant>
        <vt:i4>131</vt:i4>
      </vt:variant>
    </vt:vector>
  </HeadingPairs>
  <TitlesOfParts>
    <vt:vector size="141" baseType="lpstr">
      <vt:lpstr>Design Converter</vt:lpstr>
      <vt:lpstr>Variable_Management</vt:lpstr>
      <vt:lpstr>Eff_vs_IOUT</vt:lpstr>
      <vt:lpstr>Loop_Modeling</vt:lpstr>
      <vt:lpstr>Constants</vt:lpstr>
      <vt:lpstr>Plot_Management_Eff</vt:lpstr>
      <vt:lpstr>Plot_Management_Sch</vt:lpstr>
      <vt:lpstr>Lists</vt:lpstr>
      <vt:lpstr>Licenses</vt:lpstr>
      <vt:lpstr>Sheet1</vt:lpstr>
      <vt:lpstr>Acs</vt:lpstr>
      <vt:lpstr>Adc</vt:lpstr>
      <vt:lpstr>Adc_ea</vt:lpstr>
      <vt:lpstr>ADC_VINmin</vt:lpstr>
      <vt:lpstr>CCOMP</vt:lpstr>
      <vt:lpstr>CComp_calc</vt:lpstr>
      <vt:lpstr>CHF</vt:lpstr>
      <vt:lpstr>Comp_calc</vt:lpstr>
      <vt:lpstr>Cout</vt:lpstr>
      <vt:lpstr>Cout_min</vt:lpstr>
      <vt:lpstr>D_limit_max</vt:lpstr>
      <vt:lpstr>D_limit_min</vt:lpstr>
      <vt:lpstr>D_limit_nom</vt:lpstr>
      <vt:lpstr>Dc_CCM_VIN_max</vt:lpstr>
      <vt:lpstr>Dc_CCM_VIN_min</vt:lpstr>
      <vt:lpstr>Dc_CCM_VIN_nom</vt:lpstr>
      <vt:lpstr>Dc_DCM_VIN_nom</vt:lpstr>
      <vt:lpstr>Dc_max_IC</vt:lpstr>
      <vt:lpstr>Dc_max_ideal</vt:lpstr>
      <vt:lpstr>Dc_Mode</vt:lpstr>
      <vt:lpstr>Dc_Mode_Loop</vt:lpstr>
      <vt:lpstr>Dc_rip_max</vt:lpstr>
      <vt:lpstr>Dc_VIN_max</vt:lpstr>
      <vt:lpstr>Dc_VIN_min</vt:lpstr>
      <vt:lpstr>Dc_VIN_nom</vt:lpstr>
      <vt:lpstr>EFF_est</vt:lpstr>
      <vt:lpstr>Eff_vs_IOUT</vt:lpstr>
      <vt:lpstr>fcross</vt:lpstr>
      <vt:lpstr>fcross_est</vt:lpstr>
      <vt:lpstr>fp_ea_est</vt:lpstr>
      <vt:lpstr>Fsw</vt:lpstr>
      <vt:lpstr>fz_ea_est</vt:lpstr>
      <vt:lpstr>fz_rhp</vt:lpstr>
      <vt:lpstr>Gcomp</vt:lpstr>
      <vt:lpstr>Gea_mid_calc</vt:lpstr>
      <vt:lpstr>gfs</vt:lpstr>
      <vt:lpstr>gm_ea</vt:lpstr>
      <vt:lpstr>Gplant_fc_dB</vt:lpstr>
      <vt:lpstr>IIN_33</vt:lpstr>
      <vt:lpstr>IL_avg_VIN_max</vt:lpstr>
      <vt:lpstr>IL_avg_VIN_min</vt:lpstr>
      <vt:lpstr>IL_avg_VIN_nom</vt:lpstr>
      <vt:lpstr>IL_pk</vt:lpstr>
      <vt:lpstr>IL_pk_max</vt:lpstr>
      <vt:lpstr>ILp_VINmax</vt:lpstr>
      <vt:lpstr>ILp_VINmin</vt:lpstr>
      <vt:lpstr>ILp_VINnom</vt:lpstr>
      <vt:lpstr>ILrip</vt:lpstr>
      <vt:lpstr>ILrip_VINmax</vt:lpstr>
      <vt:lpstr>ILrip_VINmin</vt:lpstr>
      <vt:lpstr>ILrip_VINnom</vt:lpstr>
      <vt:lpstr>IOUT</vt:lpstr>
      <vt:lpstr>Ipk_margin</vt:lpstr>
      <vt:lpstr>Ipk_selected</vt:lpstr>
      <vt:lpstr>IQ</vt:lpstr>
      <vt:lpstr>IRMS_COUT</vt:lpstr>
      <vt:lpstr>Isl</vt:lpstr>
      <vt:lpstr>Iss</vt:lpstr>
      <vt:lpstr>Kslope</vt:lpstr>
      <vt:lpstr>L_DCM</vt:lpstr>
      <vt:lpstr>Lm</vt:lpstr>
      <vt:lpstr>Lopt</vt:lpstr>
      <vt:lpstr>Lopt_2</vt:lpstr>
      <vt:lpstr>POUT</vt:lpstr>
      <vt:lpstr>'Design Converter'!Print_Area</vt:lpstr>
      <vt:lpstr>Q</vt:lpstr>
      <vt:lpstr>Q_VINmin</vt:lpstr>
      <vt:lpstr>Qg_tot</vt:lpstr>
      <vt:lpstr>Qgd</vt:lpstr>
      <vt:lpstr>Qgs</vt:lpstr>
      <vt:lpstr>Qrr</vt:lpstr>
      <vt:lpstr>R_cs</vt:lpstr>
      <vt:lpstr>R_sl</vt:lpstr>
      <vt:lpstr>RCOMP</vt:lpstr>
      <vt:lpstr>Rcomp_calc</vt:lpstr>
      <vt:lpstr>Rcs_max</vt:lpstr>
      <vt:lpstr>Rcs_w_sl</vt:lpstr>
      <vt:lpstr>Rcs_wo_sl</vt:lpstr>
      <vt:lpstr>Rdcr</vt:lpstr>
      <vt:lpstr>RDS_on</vt:lpstr>
      <vt:lpstr>Resr</vt:lpstr>
      <vt:lpstr>RFBB</vt:lpstr>
      <vt:lpstr>RFBB_calc</vt:lpstr>
      <vt:lpstr>RFBT</vt:lpstr>
      <vt:lpstr>Rgate</vt:lpstr>
      <vt:lpstr>ROUT</vt:lpstr>
      <vt:lpstr>Rsl_int</vt:lpstr>
      <vt:lpstr>Rsl_max</vt:lpstr>
      <vt:lpstr>RT</vt:lpstr>
      <vt:lpstr>Ruvlo_bottom_calc</vt:lpstr>
      <vt:lpstr>Ruvlo_top</vt:lpstr>
      <vt:lpstr>Ruvlo_top_calc</vt:lpstr>
      <vt:lpstr>SCH_1</vt:lpstr>
      <vt:lpstr>SCH_2</vt:lpstr>
      <vt:lpstr>Se_VINmin</vt:lpstr>
      <vt:lpstr>Sn_VINmin</vt:lpstr>
      <vt:lpstr>tf_sw</vt:lpstr>
      <vt:lpstr>tr_sw</vt:lpstr>
      <vt:lpstr>tss</vt:lpstr>
      <vt:lpstr>UV_fall</vt:lpstr>
      <vt:lpstr>UV_I_hyst</vt:lpstr>
      <vt:lpstr>UV_rise</vt:lpstr>
      <vt:lpstr>Vcc</vt:lpstr>
      <vt:lpstr>Vcl</vt:lpstr>
      <vt:lpstr>Vd_rect</vt:lpstr>
      <vt:lpstr>VIN_33</vt:lpstr>
      <vt:lpstr>VIN_max</vt:lpstr>
      <vt:lpstr>VIN_min</vt:lpstr>
      <vt:lpstr>VIN_nom</vt:lpstr>
      <vt:lpstr>VIN_op_max</vt:lpstr>
      <vt:lpstr>VIN_op_max_56</vt:lpstr>
      <vt:lpstr>VIN_op_min</vt:lpstr>
      <vt:lpstr>VIN_var</vt:lpstr>
      <vt:lpstr>VOUT</vt:lpstr>
      <vt:lpstr>Vout_rip_sel</vt:lpstr>
      <vt:lpstr>Vref</vt:lpstr>
      <vt:lpstr>Vth</vt:lpstr>
      <vt:lpstr>Vuvlo_off</vt:lpstr>
      <vt:lpstr>Vuvlo_on</vt:lpstr>
      <vt:lpstr>wp_hf</vt:lpstr>
      <vt:lpstr>wp_lf</vt:lpstr>
      <vt:lpstr>wp_lf_VINmin</vt:lpstr>
      <vt:lpstr>wp0_ea</vt:lpstr>
      <vt:lpstr>wp1_ea</vt:lpstr>
      <vt:lpstr>wsl</vt:lpstr>
      <vt:lpstr>wsl_VINmin</vt:lpstr>
      <vt:lpstr>wz_ea</vt:lpstr>
      <vt:lpstr>wz_esr</vt:lpstr>
      <vt:lpstr>wz_esr_VINmin</vt:lpstr>
      <vt:lpstr>wz_rhp</vt:lpstr>
      <vt:lpstr>wz_RHP_VINmin</vt:lpstr>
    </vt:vector>
  </TitlesOfParts>
  <Company>Texas Instruments Incorporated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BMC-BCS</dc:creator>
  <cp:lastModifiedBy>Gin Lin</cp:lastModifiedBy>
  <cp:lastPrinted>2018-08-09T07:13:51Z</cp:lastPrinted>
  <dcterms:created xsi:type="dcterms:W3CDTF">2018-06-26T09:13:29Z</dcterms:created>
  <dcterms:modified xsi:type="dcterms:W3CDTF">2025-07-08T06:15:03Z</dcterms:modified>
</cp:coreProperties>
</file>